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бочий стол\Документы для загрузки на ОС\Книга 2 Часть 1 - Расчет выбросов ЗВ_эксплуатация\"/>
    </mc:Choice>
  </mc:AlternateContent>
  <xr:revisionPtr revIDLastSave="0" documentId="13_ncr:1_{46F77A93-2EE1-4116-A064-01031E34203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титул" sheetId="27" r:id="rId1"/>
    <sheet name="введение" sheetId="22" r:id="rId2"/>
    <sheet name="содержание" sheetId="28" r:id="rId3"/>
    <sheet name="ИТОГО" sheetId="29" r:id="rId4"/>
    <sheet name="1 котельная+парогенераторная" sheetId="1" r:id="rId5"/>
    <sheet name="2 склад резервуаров ДТ" sheetId="2" r:id="rId6"/>
    <sheet name="3 насосная станция ДТ" sheetId="3" r:id="rId7"/>
    <sheet name="4 сварка" sheetId="4" r:id="rId8"/>
    <sheet name="5 станки" sheetId="5" r:id="rId9"/>
    <sheet name="6 мойка деталей, обезжиривание" sheetId="6" r:id="rId10"/>
    <sheet name="7 пайка" sheetId="9" r:id="rId11"/>
    <sheet name="8 замена масла" sheetId="11" r:id="rId12"/>
    <sheet name="9.1 склад известняка" sheetId="13" r:id="rId13"/>
    <sheet name="9.2 площадки известняка №№1,2" sheetId="19" r:id="rId14"/>
    <sheet name="10 ДЭС" sheetId="30" r:id="rId15"/>
    <sheet name="11 абразивоструйка" sheetId="7" r:id="rId16"/>
    <sheet name="12 ЦАЛ" sheetId="14" r:id="rId17"/>
    <sheet name="13 Корпус CIL" sheetId="18" r:id="rId18"/>
    <sheet name="14ГМЦ+Насосная УОП" sheetId="16" r:id="rId19"/>
    <sheet name="15 Помещение склада извести" sheetId="15" r:id="rId20"/>
    <sheet name="16 емкости УСПК" sheetId="25" r:id="rId21"/>
    <sheet name="17 УПИИ" sheetId="26" r:id="rId22"/>
    <sheet name="18 склад техногенного грунта" sheetId="21" r:id="rId23"/>
    <sheet name="19 работа техники" sheetId="12" r:id="rId24"/>
    <sheet name="20 въезд-выезд авто" sheetId="8" r:id="rId25"/>
    <sheet name="21 ТО и ТР" sheetId="10" r:id="rId26"/>
  </sheets>
  <definedNames>
    <definedName name="_xlnm.Print_Titles" localSheetId="4">'1 котельная+парогенераторная'!$67:$70</definedName>
    <definedName name="_xlnm.Print_Titles" localSheetId="14">'10 ДЭС'!$20:$23</definedName>
    <definedName name="_xlnm.Print_Titles" localSheetId="15">'11 абразивоструйка'!$22:$25</definedName>
    <definedName name="_xlnm.Print_Titles" localSheetId="16">'12 ЦАЛ'!$14:$17</definedName>
    <definedName name="_xlnm.Print_Titles" localSheetId="17">'13 Корпус CIL'!$14:$17</definedName>
    <definedName name="_xlnm.Print_Titles" localSheetId="18">'14ГМЦ+Насосная УОП'!$14:$17</definedName>
    <definedName name="_xlnm.Print_Titles" localSheetId="20">'16 емкости УСПК'!$14:$17</definedName>
    <definedName name="_xlnm.Print_Titles" localSheetId="21">'17 УПИИ'!$14:$17</definedName>
    <definedName name="_xlnm.Print_Titles" localSheetId="23">'19 работа техники'!$42:$46</definedName>
    <definedName name="_xlnm.Print_Titles" localSheetId="5">'2 склад резервуаров ДТ'!$28:$30</definedName>
    <definedName name="_xlnm.Print_Titles" localSheetId="24">'20 въезд-выезд авто'!$37:$41</definedName>
    <definedName name="_xlnm.Print_Titles" localSheetId="25">'21 ТО и ТР'!$28:$31</definedName>
    <definedName name="_xlnm.Print_Titles" localSheetId="6">'3 насосная станция ДТ'!$28:$30</definedName>
    <definedName name="_xlnm.Print_Titles" localSheetId="7">'4 сварка'!$39:$42</definedName>
    <definedName name="_xlnm.Print_Titles" localSheetId="8">'5 станки'!$17:$20</definedName>
    <definedName name="_xlnm.Print_Titles" localSheetId="9">'6 мойка деталей, обезжиривание'!$18:$21</definedName>
    <definedName name="_xlnm.Print_Titles" localSheetId="10">'7 пайка'!$20:$23</definedName>
    <definedName name="_xlnm.Print_Titles" localSheetId="11">'8 замена масла'!$26:$27</definedName>
    <definedName name="_xlnm.Print_Titles" localSheetId="12">'9.1 склад известняка'!$39:$41</definedName>
    <definedName name="_xlnm.Print_Titles" localSheetId="13">'9.2 площадки известняка №№1,2'!$1:$4</definedName>
    <definedName name="_xlnm.Print_Area" localSheetId="4">'1 котельная+парогенераторная'!$A$1:$U$134</definedName>
    <definedName name="_xlnm.Print_Area" localSheetId="14">'10 ДЭС'!$A$1:$N$42</definedName>
    <definedName name="_xlnm.Print_Area" localSheetId="15">'11 абразивоструйка'!$A$1:$K$28</definedName>
    <definedName name="_xlnm.Print_Area" localSheetId="16">'12 ЦАЛ'!$A$1:$J$123</definedName>
    <definedName name="_xlnm.Print_Area" localSheetId="17">'13 Корпус CIL'!$A$1:$J$255</definedName>
    <definedName name="_xlnm.Print_Area" localSheetId="18">'14ГМЦ+Насосная УОП'!$A$1:$J$71</definedName>
    <definedName name="_xlnm.Print_Area" localSheetId="19">'15 Помещение склада извести'!$A$1:$J$20</definedName>
    <definedName name="_xlnm.Print_Area" localSheetId="20">'16 емкости УСПК'!$A$1:$J$32</definedName>
    <definedName name="_xlnm.Print_Area" localSheetId="21">'17 УПИИ'!$A$1:$J$29</definedName>
    <definedName name="_xlnm.Print_Area" localSheetId="22">'18 склад техногенного грунта'!$A$1:$Y$51</definedName>
    <definedName name="_xlnm.Print_Area" localSheetId="23">'19 работа техники'!$A$1:$AE$750</definedName>
    <definedName name="_xlnm.Print_Area" localSheetId="5">'2 склад резервуаров ДТ'!$A$1:$U$41</definedName>
    <definedName name="_xlnm.Print_Area" localSheetId="24">'20 въезд-выезд авто'!$A$1:$AH$622</definedName>
    <definedName name="_xlnm.Print_Area" localSheetId="25">'21 ТО и ТР'!$A$1:$M$63</definedName>
    <definedName name="_xlnm.Print_Area" localSheetId="6">'3 насосная станция ДТ'!$A$1:$L$49</definedName>
    <definedName name="_xlnm.Print_Area" localSheetId="7">'4 сварка'!$A$1:$R$142</definedName>
    <definedName name="_xlnm.Print_Area" localSheetId="8">'5 станки'!$A$1:$N$63</definedName>
    <definedName name="_xlnm.Print_Area" localSheetId="9">'6 мойка деталей, обезжиривание'!$A$1:$J$49</definedName>
    <definedName name="_xlnm.Print_Area" localSheetId="10">'7 пайка'!$A$1:$L$38</definedName>
    <definedName name="_xlnm.Print_Area" localSheetId="11">'8 замена масла'!$A$1:$S$30</definedName>
    <definedName name="_xlnm.Print_Area" localSheetId="12">'9.1 склад известняка'!$A$1:$Z$48</definedName>
    <definedName name="_xlnm.Print_Area" localSheetId="13">'9.2 площадки известняка №№1,2'!$A$1:$Z$30</definedName>
    <definedName name="_xlnm.Print_Area" localSheetId="1">введение!$A$1:$I$231</definedName>
    <definedName name="_xlnm.Print_Area" localSheetId="2">содержание!$A$1:$M$27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29" i="1" l="1"/>
  <c r="O122" i="4" l="1"/>
  <c r="J109" i="14" l="1"/>
  <c r="J108" i="14"/>
  <c r="J107" i="14"/>
  <c r="J106" i="14"/>
  <c r="J105" i="14"/>
  <c r="J104" i="14"/>
  <c r="J56" i="14"/>
  <c r="J55" i="14"/>
  <c r="J54" i="14"/>
  <c r="J53" i="14"/>
  <c r="J52" i="14"/>
  <c r="J51" i="14"/>
  <c r="X34" i="2"/>
  <c r="X33" i="2"/>
  <c r="AG89" i="1"/>
  <c r="K120" i="14"/>
  <c r="J28" i="7" l="1"/>
  <c r="J49" i="12"/>
  <c r="H49" i="12" s="1"/>
  <c r="N49" i="12"/>
  <c r="V49" i="12"/>
  <c r="W49" i="12"/>
  <c r="AD49" i="12" s="1"/>
  <c r="X49" i="12"/>
  <c r="V51" i="12"/>
  <c r="W51" i="12"/>
  <c r="AD51" i="12" s="1"/>
  <c r="X51" i="12"/>
  <c r="V52" i="12"/>
  <c r="W52" i="12"/>
  <c r="AD52" i="12" s="1"/>
  <c r="X52" i="12"/>
  <c r="V53" i="12"/>
  <c r="W53" i="12"/>
  <c r="X53" i="12"/>
  <c r="AD53" i="12"/>
  <c r="V54" i="12"/>
  <c r="W54" i="12"/>
  <c r="X54" i="12"/>
  <c r="AD54" i="12"/>
  <c r="J56" i="12"/>
  <c r="H56" i="12" s="1"/>
  <c r="N56" i="12"/>
  <c r="V56" i="12"/>
  <c r="W56" i="12"/>
  <c r="AD56" i="12" s="1"/>
  <c r="X56" i="12"/>
  <c r="V58" i="12"/>
  <c r="W58" i="12"/>
  <c r="AD58" i="12" s="1"/>
  <c r="X58" i="12"/>
  <c r="V59" i="12"/>
  <c r="W59" i="12"/>
  <c r="AD59" i="12" s="1"/>
  <c r="X59" i="12"/>
  <c r="V60" i="12"/>
  <c r="W60" i="12"/>
  <c r="AD60" i="12" s="1"/>
  <c r="X60" i="12"/>
  <c r="AD57" i="12" l="1"/>
  <c r="U58" i="12"/>
  <c r="AA58" i="12" s="1"/>
  <c r="S60" i="12"/>
  <c r="Y60" i="12" s="1"/>
  <c r="U59" i="12"/>
  <c r="AA59" i="12" s="1"/>
  <c r="S56" i="12"/>
  <c r="Y56" i="12" s="1"/>
  <c r="S59" i="12"/>
  <c r="Y59" i="12" s="1"/>
  <c r="T60" i="12"/>
  <c r="Z60" i="12" s="1"/>
  <c r="T56" i="12"/>
  <c r="Z56" i="12" s="1"/>
  <c r="S58" i="12"/>
  <c r="Y58" i="12" s="1"/>
  <c r="T59" i="12"/>
  <c r="Z59" i="12" s="1"/>
  <c r="U60" i="12"/>
  <c r="AA60" i="12" s="1"/>
  <c r="U56" i="12"/>
  <c r="AA56" i="12" s="1"/>
  <c r="T58" i="12"/>
  <c r="Z58" i="12" s="1"/>
  <c r="T49" i="12"/>
  <c r="Z49" i="12" s="1"/>
  <c r="S51" i="12"/>
  <c r="Y51" i="12" s="1"/>
  <c r="T52" i="12"/>
  <c r="Z52" i="12" s="1"/>
  <c r="U53" i="12"/>
  <c r="AA53" i="12" s="1"/>
  <c r="U51" i="12"/>
  <c r="AA51" i="12" s="1"/>
  <c r="T54" i="12"/>
  <c r="Z54" i="12" s="1"/>
  <c r="S52" i="12"/>
  <c r="Y52" i="12" s="1"/>
  <c r="U54" i="12"/>
  <c r="AA54" i="12" s="1"/>
  <c r="U49" i="12"/>
  <c r="AA49" i="12" s="1"/>
  <c r="T51" i="12"/>
  <c r="Z51" i="12" s="1"/>
  <c r="U52" i="12"/>
  <c r="AA52" i="12" s="1"/>
  <c r="S54" i="12"/>
  <c r="Y54" i="12" s="1"/>
  <c r="S53" i="12"/>
  <c r="Y53" i="12" s="1"/>
  <c r="S49" i="12"/>
  <c r="Y49" i="12" s="1"/>
  <c r="T53" i="12"/>
  <c r="Z53" i="12" s="1"/>
  <c r="AD50" i="12"/>
  <c r="AF54" i="12" s="1"/>
  <c r="AE56" i="12" l="1"/>
  <c r="AE57" i="12"/>
  <c r="AE49" i="12"/>
  <c r="AE50" i="12"/>
  <c r="AE53" i="12"/>
  <c r="AE60" i="12"/>
  <c r="AE52" i="12"/>
  <c r="AE58" i="12"/>
  <c r="AE51" i="12"/>
  <c r="AE54" i="12"/>
  <c r="AE59" i="12"/>
  <c r="K413" i="29" l="1"/>
  <c r="I413" i="29"/>
  <c r="I410" i="29"/>
  <c r="K410" i="29"/>
  <c r="I411" i="29"/>
  <c r="K411" i="29"/>
  <c r="I412" i="29"/>
  <c r="K412" i="29"/>
  <c r="K409" i="29"/>
  <c r="I409" i="29"/>
  <c r="AG54" i="12"/>
  <c r="K26" i="9" l="1"/>
  <c r="L26" i="9" s="1"/>
  <c r="L27" i="9"/>
  <c r="K27" i="9" s="1"/>
  <c r="L28" i="9"/>
  <c r="K28" i="7"/>
  <c r="L35" i="9" l="1"/>
  <c r="K35" i="9" s="1"/>
  <c r="L34" i="9"/>
  <c r="K34" i="9" s="1"/>
  <c r="L32" i="9"/>
  <c r="K32" i="9" s="1"/>
  <c r="L31" i="9"/>
  <c r="K31" i="9" s="1"/>
  <c r="K28" i="9"/>
  <c r="K346" i="29" l="1"/>
  <c r="J346" i="29"/>
  <c r="I346" i="29"/>
  <c r="H346" i="29"/>
  <c r="G346" i="29"/>
  <c r="F346" i="29"/>
  <c r="E301" i="29"/>
  <c r="D301" i="29"/>
  <c r="E300" i="29"/>
  <c r="D300" i="29"/>
  <c r="E299" i="29"/>
  <c r="D299" i="29"/>
  <c r="E298" i="29"/>
  <c r="D298" i="29"/>
  <c r="E297" i="29"/>
  <c r="D297" i="29"/>
  <c r="E296" i="29"/>
  <c r="D296" i="29"/>
  <c r="E295" i="29"/>
  <c r="D295" i="29"/>
  <c r="E294" i="29"/>
  <c r="D294" i="29"/>
  <c r="N38" i="30"/>
  <c r="O298" i="29" s="1"/>
  <c r="N41" i="30"/>
  <c r="O301" i="29" s="1"/>
  <c r="O346" i="29" s="1"/>
  <c r="O857" i="29" s="1"/>
  <c r="M41" i="30"/>
  <c r="N301" i="29" s="1"/>
  <c r="N346" i="29" s="1"/>
  <c r="N857" i="29" s="1"/>
  <c r="N40" i="30"/>
  <c r="O300" i="29" s="1"/>
  <c r="M40" i="30"/>
  <c r="N300" i="29" s="1"/>
  <c r="N39" i="30"/>
  <c r="O299" i="29" s="1"/>
  <c r="M39" i="30"/>
  <c r="N299" i="29" s="1"/>
  <c r="M38" i="30"/>
  <c r="N298" i="29" s="1"/>
  <c r="N37" i="30"/>
  <c r="O297" i="29" s="1"/>
  <c r="M37" i="30"/>
  <c r="N297" i="29" s="1"/>
  <c r="N36" i="30"/>
  <c r="O296" i="29" s="1"/>
  <c r="M36" i="30"/>
  <c r="N296" i="29" s="1"/>
  <c r="N35" i="30"/>
  <c r="O295" i="29" s="1"/>
  <c r="M35" i="30"/>
  <c r="N295" i="29" s="1"/>
  <c r="N34" i="30"/>
  <c r="M34" i="30"/>
  <c r="N29" i="30"/>
  <c r="M298" i="29" s="1"/>
  <c r="N32" i="30"/>
  <c r="M301" i="29" s="1"/>
  <c r="M346" i="29" s="1"/>
  <c r="M857" i="29" s="1"/>
  <c r="M32" i="30"/>
  <c r="L301" i="29" s="1"/>
  <c r="L346" i="29" s="1"/>
  <c r="L857" i="29" s="1"/>
  <c r="N31" i="30"/>
  <c r="M300" i="29" s="1"/>
  <c r="M31" i="30"/>
  <c r="L300" i="29" s="1"/>
  <c r="L348" i="29" s="1"/>
  <c r="N30" i="30"/>
  <c r="M299" i="29" s="1"/>
  <c r="M30" i="30"/>
  <c r="L299" i="29" s="1"/>
  <c r="M29" i="30"/>
  <c r="L298" i="29" s="1"/>
  <c r="N28" i="30"/>
  <c r="M297" i="29" s="1"/>
  <c r="M28" i="30"/>
  <c r="L297" i="29" s="1"/>
  <c r="N27" i="30"/>
  <c r="M296" i="29" s="1"/>
  <c r="M27" i="30"/>
  <c r="L296" i="29" s="1"/>
  <c r="N26" i="30"/>
  <c r="M295" i="29" s="1"/>
  <c r="M26" i="30"/>
  <c r="L295" i="29" s="1"/>
  <c r="N25" i="30"/>
  <c r="M294" i="29" s="1"/>
  <c r="M25" i="30"/>
  <c r="L294" i="29" s="1"/>
  <c r="O41" i="30" l="1"/>
  <c r="P41" i="30"/>
  <c r="O294" i="29"/>
  <c r="N294" i="29"/>
  <c r="O32" i="30"/>
  <c r="P32" i="30"/>
  <c r="T72" i="1" l="1"/>
  <c r="P82" i="18"/>
  <c r="J82" i="18"/>
  <c r="AD92" i="1"/>
  <c r="J232" i="18"/>
  <c r="J231" i="18"/>
  <c r="J201" i="18"/>
  <c r="U73" i="1"/>
  <c r="U72" i="1"/>
  <c r="K33" i="3"/>
  <c r="N413" i="29" l="1"/>
  <c r="N412" i="29"/>
  <c r="N411" i="29"/>
  <c r="N410" i="29"/>
  <c r="N409" i="29"/>
  <c r="O409" i="29"/>
  <c r="O410" i="29"/>
  <c r="O411" i="29"/>
  <c r="O412" i="29"/>
  <c r="O413" i="29"/>
  <c r="J155" i="18" l="1"/>
  <c r="K67" i="14"/>
  <c r="L33" i="3" l="1"/>
  <c r="K129" i="1"/>
  <c r="K124" i="1"/>
  <c r="K119" i="1"/>
  <c r="K114" i="1"/>
  <c r="K109" i="1"/>
  <c r="K104" i="1"/>
  <c r="P98" i="1"/>
  <c r="K98" i="1"/>
  <c r="U95" i="1"/>
  <c r="T95" i="1"/>
  <c r="U94" i="1"/>
  <c r="T94" i="1"/>
  <c r="U93" i="1"/>
  <c r="T93" i="1"/>
  <c r="U92" i="1"/>
  <c r="T92" i="1"/>
  <c r="K92" i="1"/>
  <c r="U96" i="1" s="1"/>
  <c r="U90" i="1"/>
  <c r="T90" i="1"/>
  <c r="U89" i="1"/>
  <c r="T89" i="1"/>
  <c r="U88" i="1"/>
  <c r="T88" i="1"/>
  <c r="U87" i="1"/>
  <c r="T87" i="1"/>
  <c r="K87" i="1"/>
  <c r="U91" i="1" s="1"/>
  <c r="U85" i="1"/>
  <c r="T85" i="1"/>
  <c r="U84" i="1"/>
  <c r="T84" i="1"/>
  <c r="U83" i="1"/>
  <c r="T83" i="1"/>
  <c r="U82" i="1"/>
  <c r="T82" i="1"/>
  <c r="K82" i="1"/>
  <c r="T86" i="1" s="1"/>
  <c r="U80" i="1"/>
  <c r="T80" i="1"/>
  <c r="U79" i="1"/>
  <c r="T79" i="1"/>
  <c r="U78" i="1"/>
  <c r="T78" i="1"/>
  <c r="U77" i="1"/>
  <c r="T77" i="1"/>
  <c r="K77" i="1"/>
  <c r="U81" i="1" s="1"/>
  <c r="U75" i="1"/>
  <c r="T75" i="1"/>
  <c r="U74" i="1"/>
  <c r="T74" i="1"/>
  <c r="T73" i="1"/>
  <c r="K72" i="1"/>
  <c r="T76" i="1" s="1"/>
  <c r="T96" i="1" l="1"/>
  <c r="U76" i="1"/>
  <c r="T91" i="1"/>
  <c r="T81" i="1"/>
  <c r="U86" i="1"/>
  <c r="E307" i="29" l="1"/>
  <c r="D307" i="29"/>
  <c r="X44" i="21"/>
  <c r="Y44" i="21" s="1"/>
  <c r="Y45" i="21" s="1"/>
  <c r="O307" i="29" s="1"/>
  <c r="X45" i="21" l="1"/>
  <c r="N307" i="29" s="1"/>
  <c r="Z45" i="21"/>
  <c r="AA45" i="21"/>
  <c r="E165" i="29" l="1"/>
  <c r="D165" i="29"/>
  <c r="E164" i="29"/>
  <c r="D164" i="29"/>
  <c r="E163" i="29"/>
  <c r="D163" i="29"/>
  <c r="E162" i="29"/>
  <c r="D162" i="29"/>
  <c r="G861" i="29"/>
  <c r="F861" i="29"/>
  <c r="AN49" i="8"/>
  <c r="E161" i="29"/>
  <c r="D161" i="29"/>
  <c r="U101" i="1" l="1"/>
  <c r="M164" i="29" s="1"/>
  <c r="T102" i="1"/>
  <c r="L165" i="29" s="1"/>
  <c r="T101" i="1"/>
  <c r="L164" i="29" s="1"/>
  <c r="U100" i="1"/>
  <c r="M163" i="29" s="1"/>
  <c r="T100" i="1"/>
  <c r="L163" i="29" s="1"/>
  <c r="U99" i="1"/>
  <c r="M162" i="29" s="1"/>
  <c r="T99" i="1"/>
  <c r="L162" i="29" s="1"/>
  <c r="U98" i="1"/>
  <c r="M161" i="29" s="1"/>
  <c r="T98" i="1"/>
  <c r="U132" i="1"/>
  <c r="O164" i="29" s="1"/>
  <c r="T132" i="1"/>
  <c r="N164" i="29" s="1"/>
  <c r="U131" i="1"/>
  <c r="O163" i="29" s="1"/>
  <c r="T131" i="1"/>
  <c r="N163" i="29" s="1"/>
  <c r="U130" i="1"/>
  <c r="O162" i="29" s="1"/>
  <c r="T130" i="1"/>
  <c r="N162" i="29" s="1"/>
  <c r="U129" i="1"/>
  <c r="T129" i="1"/>
  <c r="N161" i="29" s="1"/>
  <c r="U133" i="1"/>
  <c r="O165" i="29" s="1"/>
  <c r="W133" i="1" l="1"/>
  <c r="O161" i="29"/>
  <c r="V102" i="1"/>
  <c r="L161" i="29"/>
  <c r="U102" i="1"/>
  <c r="T133" i="1"/>
  <c r="V133" i="1" l="1"/>
  <c r="N165" i="29"/>
  <c r="W102" i="1"/>
  <c r="M165" i="29"/>
  <c r="K337" i="29"/>
  <c r="K848" i="29" s="1"/>
  <c r="J337" i="29"/>
  <c r="J848" i="29" s="1"/>
  <c r="I337" i="29"/>
  <c r="I848" i="29" s="1"/>
  <c r="H337" i="29"/>
  <c r="H848" i="29" s="1"/>
  <c r="G337" i="29"/>
  <c r="G848" i="29" s="1"/>
  <c r="F337" i="29"/>
  <c r="F848" i="29" s="1"/>
  <c r="F319" i="29"/>
  <c r="F830" i="29" s="1"/>
  <c r="K358" i="29"/>
  <c r="K870" i="29" s="1"/>
  <c r="K357" i="29"/>
  <c r="K869" i="29" s="1"/>
  <c r="K349" i="29"/>
  <c r="K860" i="29" s="1"/>
  <c r="K348" i="29"/>
  <c r="K859" i="29" s="1"/>
  <c r="K345" i="29"/>
  <c r="K856" i="29" s="1"/>
  <c r="K338" i="29"/>
  <c r="K849" i="29" s="1"/>
  <c r="K336" i="29"/>
  <c r="K847" i="29" s="1"/>
  <c r="K334" i="29"/>
  <c r="K845" i="29" s="1"/>
  <c r="K333" i="29"/>
  <c r="K844" i="29" s="1"/>
  <c r="K331" i="29"/>
  <c r="K842" i="29" s="1"/>
  <c r="K326" i="29"/>
  <c r="K837" i="29" s="1"/>
  <c r="K323" i="29"/>
  <c r="K834" i="29" s="1"/>
  <c r="K321" i="29"/>
  <c r="K832" i="29" s="1"/>
  <c r="K319" i="29"/>
  <c r="K830" i="29" s="1"/>
  <c r="F336" i="29"/>
  <c r="F847" i="29" s="1"/>
  <c r="J338" i="29"/>
  <c r="J849" i="29" s="1"/>
  <c r="I338" i="29"/>
  <c r="I849" i="29" s="1"/>
  <c r="H338" i="29"/>
  <c r="H849" i="29" s="1"/>
  <c r="G338" i="29"/>
  <c r="G849" i="29" s="1"/>
  <c r="F324" i="29"/>
  <c r="F835" i="29" s="1"/>
  <c r="F325" i="29"/>
  <c r="F836" i="29" s="1"/>
  <c r="G355" i="29"/>
  <c r="G867" i="29" s="1"/>
  <c r="F349" i="29"/>
  <c r="F860" i="29" s="1"/>
  <c r="F357" i="29"/>
  <c r="F869" i="29" s="1"/>
  <c r="G329" i="29"/>
  <c r="G840" i="29" s="1"/>
  <c r="F329" i="29"/>
  <c r="F840" i="29" s="1"/>
  <c r="L208" i="29"/>
  <c r="N208" i="29"/>
  <c r="F338" i="29"/>
  <c r="F849" i="29" s="1"/>
  <c r="F355" i="29"/>
  <c r="F867" i="29" s="1"/>
  <c r="J357" i="29"/>
  <c r="J869" i="29" s="1"/>
  <c r="I357" i="29"/>
  <c r="I869" i="29" s="1"/>
  <c r="H357" i="29"/>
  <c r="H869" i="29" s="1"/>
  <c r="G357" i="29"/>
  <c r="G869" i="29" s="1"/>
  <c r="L278" i="29"/>
  <c r="N278" i="29"/>
  <c r="J321" i="29"/>
  <c r="J832" i="29" s="1"/>
  <c r="I321" i="29"/>
  <c r="I832" i="29" s="1"/>
  <c r="H321" i="29"/>
  <c r="H832" i="29" s="1"/>
  <c r="G321" i="29"/>
  <c r="G832" i="29" s="1"/>
  <c r="F321" i="29"/>
  <c r="F832" i="29" s="1"/>
  <c r="G354" i="29"/>
  <c r="G866" i="29" s="1"/>
  <c r="F354" i="29"/>
  <c r="F866" i="29" s="1"/>
  <c r="G324" i="29"/>
  <c r="G835" i="29" s="1"/>
  <c r="I358" i="29"/>
  <c r="I870" i="29" s="1"/>
  <c r="I349" i="29"/>
  <c r="I860" i="29" s="1"/>
  <c r="I348" i="29"/>
  <c r="I859" i="29" s="1"/>
  <c r="I345" i="29"/>
  <c r="I856" i="29" s="1"/>
  <c r="I336" i="29"/>
  <c r="I847" i="29" s="1"/>
  <c r="I334" i="29"/>
  <c r="I845" i="29" s="1"/>
  <c r="I333" i="29"/>
  <c r="I844" i="29" s="1"/>
  <c r="I331" i="29"/>
  <c r="I842" i="29" s="1"/>
  <c r="I326" i="29"/>
  <c r="I837" i="29" s="1"/>
  <c r="I323" i="29"/>
  <c r="I834" i="29" s="1"/>
  <c r="I319" i="29"/>
  <c r="I830" i="29" s="1"/>
  <c r="E768" i="29"/>
  <c r="D768" i="29"/>
  <c r="E767" i="29"/>
  <c r="D767" i="29"/>
  <c r="E766" i="29"/>
  <c r="D766" i="29"/>
  <c r="E765" i="29"/>
  <c r="D765" i="29"/>
  <c r="E764" i="29"/>
  <c r="D764" i="29"/>
  <c r="E763" i="29"/>
  <c r="D763" i="29"/>
  <c r="E630" i="29"/>
  <c r="D630" i="29"/>
  <c r="E629" i="29"/>
  <c r="D629" i="29"/>
  <c r="E628" i="29"/>
  <c r="D628" i="29"/>
  <c r="E627" i="29"/>
  <c r="D627" i="29"/>
  <c r="E626" i="29"/>
  <c r="D626" i="29"/>
  <c r="E625" i="29"/>
  <c r="D625" i="29"/>
  <c r="E402" i="29"/>
  <c r="D402" i="29"/>
  <c r="E401" i="29"/>
  <c r="D401" i="29"/>
  <c r="E400" i="29"/>
  <c r="D400" i="29"/>
  <c r="E399" i="29"/>
  <c r="D399" i="29"/>
  <c r="E398" i="29"/>
  <c r="D398" i="29"/>
  <c r="E397" i="29"/>
  <c r="D397" i="29"/>
  <c r="E462" i="29"/>
  <c r="D462" i="29"/>
  <c r="E461" i="29"/>
  <c r="D461" i="29"/>
  <c r="E460" i="29"/>
  <c r="D460" i="29"/>
  <c r="E459" i="29"/>
  <c r="D459" i="29"/>
  <c r="E458" i="29"/>
  <c r="D458" i="29"/>
  <c r="E457" i="29"/>
  <c r="D457" i="29"/>
  <c r="E408" i="29"/>
  <c r="D408" i="29"/>
  <c r="E407" i="29"/>
  <c r="D407" i="29"/>
  <c r="E406" i="29"/>
  <c r="D406" i="29"/>
  <c r="E405" i="29"/>
  <c r="D405" i="29"/>
  <c r="E404" i="29"/>
  <c r="D404" i="29"/>
  <c r="D409" i="29"/>
  <c r="E409" i="29"/>
  <c r="E396" i="29"/>
  <c r="D396" i="29"/>
  <c r="E395" i="29"/>
  <c r="D395" i="29"/>
  <c r="E394" i="29"/>
  <c r="D394" i="29"/>
  <c r="E393" i="29"/>
  <c r="D393" i="29"/>
  <c r="E392" i="29"/>
  <c r="D392" i="29"/>
  <c r="E391" i="29"/>
  <c r="D391" i="29"/>
  <c r="E390" i="29"/>
  <c r="D390" i="29"/>
  <c r="E389" i="29"/>
  <c r="D389" i="29"/>
  <c r="E388" i="29"/>
  <c r="D388" i="29"/>
  <c r="E387" i="29"/>
  <c r="D387" i="29"/>
  <c r="E386" i="29"/>
  <c r="D386" i="29"/>
  <c r="E385" i="29"/>
  <c r="D385" i="29"/>
  <c r="E384" i="29"/>
  <c r="D384" i="29"/>
  <c r="E383" i="29"/>
  <c r="D383" i="29"/>
  <c r="E382" i="29"/>
  <c r="D382" i="29"/>
  <c r="E381" i="29"/>
  <c r="D381" i="29"/>
  <c r="E380" i="29"/>
  <c r="D380" i="29"/>
  <c r="E379" i="29"/>
  <c r="D379" i="29"/>
  <c r="E378" i="29"/>
  <c r="D378" i="29"/>
  <c r="E377" i="29"/>
  <c r="D377" i="29"/>
  <c r="E376" i="29"/>
  <c r="D376" i="29"/>
  <c r="E375" i="29"/>
  <c r="D375" i="29"/>
  <c r="E374" i="29"/>
  <c r="D374" i="29"/>
  <c r="E373" i="29"/>
  <c r="D373" i="29"/>
  <c r="E372" i="29"/>
  <c r="D372" i="29"/>
  <c r="E371" i="29"/>
  <c r="D371" i="29"/>
  <c r="E370" i="29"/>
  <c r="D370" i="29"/>
  <c r="E369" i="29"/>
  <c r="D369" i="29"/>
  <c r="E368" i="29"/>
  <c r="D368" i="29"/>
  <c r="E367" i="29"/>
  <c r="D367" i="29"/>
  <c r="G805" i="29"/>
  <c r="F805" i="29"/>
  <c r="E804" i="29"/>
  <c r="D804" i="29"/>
  <c r="E803" i="29"/>
  <c r="D803" i="29"/>
  <c r="E802" i="29"/>
  <c r="D802" i="29"/>
  <c r="E801" i="29"/>
  <c r="D801" i="29"/>
  <c r="E800" i="29"/>
  <c r="D800" i="29"/>
  <c r="E799" i="29"/>
  <c r="D799" i="29"/>
  <c r="E798" i="29"/>
  <c r="D798" i="29"/>
  <c r="E797" i="29"/>
  <c r="D797" i="29"/>
  <c r="E796" i="29"/>
  <c r="D796" i="29"/>
  <c r="E795" i="29"/>
  <c r="D795" i="29"/>
  <c r="E794" i="29"/>
  <c r="D794" i="29"/>
  <c r="E793" i="29"/>
  <c r="D793" i="29"/>
  <c r="E762" i="29"/>
  <c r="D762" i="29"/>
  <c r="E761" i="29"/>
  <c r="D761" i="29"/>
  <c r="E760" i="29"/>
  <c r="D760" i="29"/>
  <c r="E759" i="29"/>
  <c r="D759" i="29"/>
  <c r="E758" i="29"/>
  <c r="D758" i="29"/>
  <c r="E757" i="29"/>
  <c r="D757" i="29"/>
  <c r="E756" i="29"/>
  <c r="D756" i="29"/>
  <c r="E755" i="29"/>
  <c r="D755" i="29"/>
  <c r="E754" i="29"/>
  <c r="D754" i="29"/>
  <c r="E753" i="29"/>
  <c r="D753" i="29"/>
  <c r="E752" i="29"/>
  <c r="D752" i="29"/>
  <c r="E751" i="29"/>
  <c r="D751" i="29"/>
  <c r="E750" i="29"/>
  <c r="D750" i="29"/>
  <c r="E749" i="29"/>
  <c r="D749" i="29"/>
  <c r="E748" i="29"/>
  <c r="D748" i="29"/>
  <c r="E747" i="29"/>
  <c r="D747" i="29"/>
  <c r="E746" i="29"/>
  <c r="D746" i="29"/>
  <c r="E745" i="29"/>
  <c r="D745" i="29"/>
  <c r="E744" i="29"/>
  <c r="D744" i="29"/>
  <c r="E743" i="29"/>
  <c r="D743" i="29"/>
  <c r="E742" i="29"/>
  <c r="D742" i="29"/>
  <c r="E741" i="29"/>
  <c r="D741" i="29"/>
  <c r="E740" i="29"/>
  <c r="D740" i="29"/>
  <c r="E739" i="29"/>
  <c r="D739" i="29"/>
  <c r="E738" i="29"/>
  <c r="D738" i="29"/>
  <c r="E737" i="29"/>
  <c r="D737" i="29"/>
  <c r="E736" i="29"/>
  <c r="D736" i="29"/>
  <c r="E735" i="29"/>
  <c r="D735" i="29"/>
  <c r="E734" i="29"/>
  <c r="D734" i="29"/>
  <c r="E733" i="29"/>
  <c r="D733" i="29"/>
  <c r="E732" i="29"/>
  <c r="D732" i="29"/>
  <c r="E731" i="29"/>
  <c r="D731" i="29"/>
  <c r="E730" i="29"/>
  <c r="D730" i="29"/>
  <c r="E729" i="29"/>
  <c r="D729" i="29"/>
  <c r="E728" i="29"/>
  <c r="D728" i="29"/>
  <c r="E727" i="29"/>
  <c r="D727" i="29"/>
  <c r="E726" i="29"/>
  <c r="D726" i="29"/>
  <c r="E725" i="29"/>
  <c r="D725" i="29"/>
  <c r="E724" i="29"/>
  <c r="D724" i="29"/>
  <c r="E723" i="29"/>
  <c r="D723" i="29"/>
  <c r="E722" i="29"/>
  <c r="D722" i="29"/>
  <c r="E721" i="29"/>
  <c r="D721" i="29"/>
  <c r="E720" i="29"/>
  <c r="D720" i="29"/>
  <c r="E719" i="29"/>
  <c r="D719" i="29"/>
  <c r="E718" i="29"/>
  <c r="D718" i="29"/>
  <c r="E717" i="29"/>
  <c r="D717" i="29"/>
  <c r="E716" i="29"/>
  <c r="D716" i="29"/>
  <c r="E715" i="29"/>
  <c r="D715" i="29"/>
  <c r="E714" i="29"/>
  <c r="D714" i="29"/>
  <c r="E713" i="29"/>
  <c r="D713" i="29"/>
  <c r="E712" i="29"/>
  <c r="D712" i="29"/>
  <c r="E711" i="29"/>
  <c r="D711" i="29"/>
  <c r="E710" i="29"/>
  <c r="D710" i="29"/>
  <c r="E709" i="29"/>
  <c r="D709" i="29"/>
  <c r="E708" i="29"/>
  <c r="D708" i="29"/>
  <c r="E707" i="29"/>
  <c r="D707" i="29"/>
  <c r="E706" i="29"/>
  <c r="D706" i="29"/>
  <c r="E705" i="29"/>
  <c r="D705" i="29"/>
  <c r="E704" i="29"/>
  <c r="D704" i="29"/>
  <c r="E703" i="29"/>
  <c r="D703" i="29"/>
  <c r="E702" i="29"/>
  <c r="D702" i="29"/>
  <c r="E701" i="29"/>
  <c r="D701" i="29"/>
  <c r="E700" i="29"/>
  <c r="D700" i="29"/>
  <c r="E699" i="29"/>
  <c r="D699" i="29"/>
  <c r="E698" i="29"/>
  <c r="D698" i="29"/>
  <c r="E697" i="29"/>
  <c r="D697" i="29"/>
  <c r="E696" i="29"/>
  <c r="D696" i="29"/>
  <c r="E695" i="29"/>
  <c r="D695" i="29"/>
  <c r="E694" i="29"/>
  <c r="D694" i="29"/>
  <c r="E693" i="29"/>
  <c r="D693" i="29"/>
  <c r="E692" i="29"/>
  <c r="D692" i="29"/>
  <c r="E691" i="29"/>
  <c r="D691" i="29"/>
  <c r="E690" i="29"/>
  <c r="D690" i="29"/>
  <c r="E689" i="29"/>
  <c r="D689" i="29"/>
  <c r="E688" i="29"/>
  <c r="D688" i="29"/>
  <c r="E687" i="29"/>
  <c r="D687" i="29"/>
  <c r="E686" i="29"/>
  <c r="D686" i="29"/>
  <c r="E685" i="29"/>
  <c r="D685" i="29"/>
  <c r="E684" i="29"/>
  <c r="D684" i="29"/>
  <c r="E683" i="29"/>
  <c r="D683" i="29"/>
  <c r="E682" i="29"/>
  <c r="D682" i="29"/>
  <c r="E681" i="29"/>
  <c r="D681" i="29"/>
  <c r="E680" i="29"/>
  <c r="D680" i="29"/>
  <c r="E679" i="29"/>
  <c r="D679" i="29"/>
  <c r="E678" i="29"/>
  <c r="D678" i="29"/>
  <c r="E677" i="29"/>
  <c r="D677" i="29"/>
  <c r="E676" i="29"/>
  <c r="D676" i="29"/>
  <c r="E675" i="29"/>
  <c r="D675" i="29"/>
  <c r="E674" i="29"/>
  <c r="D674" i="29"/>
  <c r="E673" i="29"/>
  <c r="D673" i="29"/>
  <c r="E672" i="29"/>
  <c r="D672" i="29"/>
  <c r="E671" i="29"/>
  <c r="D671" i="29"/>
  <c r="E670" i="29"/>
  <c r="D670" i="29"/>
  <c r="E669" i="29"/>
  <c r="D669" i="29"/>
  <c r="E668" i="29"/>
  <c r="D668" i="29"/>
  <c r="E667" i="29"/>
  <c r="D667" i="29"/>
  <c r="E666" i="29"/>
  <c r="D666" i="29"/>
  <c r="E665" i="29"/>
  <c r="D665" i="29"/>
  <c r="E664" i="29"/>
  <c r="D664" i="29"/>
  <c r="E663" i="29"/>
  <c r="D663" i="29"/>
  <c r="E662" i="29"/>
  <c r="D662" i="29"/>
  <c r="E661" i="29"/>
  <c r="D661" i="29"/>
  <c r="E660" i="29"/>
  <c r="D660" i="29"/>
  <c r="E659" i="29"/>
  <c r="D659" i="29"/>
  <c r="E658" i="29"/>
  <c r="D658" i="29"/>
  <c r="E657" i="29"/>
  <c r="D657" i="29"/>
  <c r="E656" i="29"/>
  <c r="D656" i="29"/>
  <c r="E655" i="29"/>
  <c r="D655" i="29"/>
  <c r="E654" i="29"/>
  <c r="D654" i="29"/>
  <c r="E653" i="29"/>
  <c r="D653" i="29"/>
  <c r="E652" i="29"/>
  <c r="D652" i="29"/>
  <c r="E651" i="29"/>
  <c r="D651" i="29"/>
  <c r="E650" i="29"/>
  <c r="D650" i="29"/>
  <c r="E649" i="29"/>
  <c r="D649" i="29"/>
  <c r="E648" i="29"/>
  <c r="D648" i="29"/>
  <c r="E647" i="29"/>
  <c r="D647" i="29"/>
  <c r="E646" i="29"/>
  <c r="D646" i="29"/>
  <c r="E645" i="29"/>
  <c r="D645" i="29"/>
  <c r="E644" i="29"/>
  <c r="D644" i="29"/>
  <c r="E643" i="29"/>
  <c r="D643" i="29"/>
  <c r="E642" i="29"/>
  <c r="D642" i="29"/>
  <c r="E641" i="29"/>
  <c r="D641" i="29"/>
  <c r="E640" i="29"/>
  <c r="D640" i="29"/>
  <c r="E639" i="29"/>
  <c r="D639" i="29"/>
  <c r="E638" i="29"/>
  <c r="D638" i="29"/>
  <c r="E637" i="29"/>
  <c r="D637" i="29"/>
  <c r="E636" i="29"/>
  <c r="D636" i="29"/>
  <c r="E635" i="29"/>
  <c r="D635" i="29"/>
  <c r="E634" i="29"/>
  <c r="D634" i="29"/>
  <c r="E633" i="29"/>
  <c r="D633" i="29"/>
  <c r="E632" i="29"/>
  <c r="D632" i="29"/>
  <c r="E631" i="29"/>
  <c r="D631" i="29"/>
  <c r="E624" i="29"/>
  <c r="D624" i="29"/>
  <c r="E623" i="29"/>
  <c r="D623" i="29"/>
  <c r="E622" i="29"/>
  <c r="D622" i="29"/>
  <c r="E621" i="29"/>
  <c r="D621" i="29"/>
  <c r="E620" i="29"/>
  <c r="D620" i="29"/>
  <c r="E619" i="29"/>
  <c r="D619" i="29"/>
  <c r="E618" i="29"/>
  <c r="D618" i="29"/>
  <c r="E617" i="29"/>
  <c r="D617" i="29"/>
  <c r="E616" i="29"/>
  <c r="D616" i="29"/>
  <c r="E615" i="29"/>
  <c r="D615" i="29"/>
  <c r="E614" i="29"/>
  <c r="D614" i="29"/>
  <c r="E613" i="29"/>
  <c r="D613" i="29"/>
  <c r="E612" i="29"/>
  <c r="D612" i="29"/>
  <c r="E611" i="29"/>
  <c r="D611" i="29"/>
  <c r="E610" i="29"/>
  <c r="D610" i="29"/>
  <c r="E609" i="29"/>
  <c r="D609" i="29"/>
  <c r="E608" i="29"/>
  <c r="D608" i="29"/>
  <c r="E607" i="29"/>
  <c r="D607" i="29"/>
  <c r="E606" i="29"/>
  <c r="D606" i="29"/>
  <c r="E605" i="29"/>
  <c r="D605" i="29"/>
  <c r="E604" i="29"/>
  <c r="D604" i="29"/>
  <c r="E603" i="29"/>
  <c r="D603" i="29"/>
  <c r="E602" i="29"/>
  <c r="D602" i="29"/>
  <c r="E601" i="29"/>
  <c r="D601" i="29"/>
  <c r="E600" i="29"/>
  <c r="D600" i="29"/>
  <c r="E599" i="29"/>
  <c r="D599" i="29"/>
  <c r="E598" i="29"/>
  <c r="D598" i="29"/>
  <c r="E597" i="29"/>
  <c r="D597" i="29"/>
  <c r="E596" i="29"/>
  <c r="D596" i="29"/>
  <c r="E595" i="29"/>
  <c r="D595" i="29"/>
  <c r="E594" i="29"/>
  <c r="D594" i="29"/>
  <c r="E593" i="29"/>
  <c r="D593" i="29"/>
  <c r="E592" i="29"/>
  <c r="D592" i="29"/>
  <c r="E591" i="29"/>
  <c r="D591" i="29"/>
  <c r="E590" i="29"/>
  <c r="D590" i="29"/>
  <c r="E589" i="29"/>
  <c r="D589" i="29"/>
  <c r="E588" i="29"/>
  <c r="D588" i="29"/>
  <c r="E587" i="29"/>
  <c r="D587" i="29"/>
  <c r="E586" i="29"/>
  <c r="D586" i="29"/>
  <c r="E585" i="29"/>
  <c r="D585" i="29"/>
  <c r="E584" i="29"/>
  <c r="D584" i="29"/>
  <c r="E583" i="29"/>
  <c r="D583" i="29"/>
  <c r="E582" i="29"/>
  <c r="D582" i="29"/>
  <c r="E581" i="29"/>
  <c r="D581" i="29"/>
  <c r="E580" i="29"/>
  <c r="D580" i="29"/>
  <c r="E579" i="29"/>
  <c r="D579" i="29"/>
  <c r="E578" i="29"/>
  <c r="D578" i="29"/>
  <c r="E577" i="29"/>
  <c r="D577" i="29"/>
  <c r="E576" i="29"/>
  <c r="D576" i="29"/>
  <c r="E575" i="29"/>
  <c r="D575" i="29"/>
  <c r="E574" i="29"/>
  <c r="D574" i="29"/>
  <c r="E573" i="29"/>
  <c r="D573" i="29"/>
  <c r="E572" i="29"/>
  <c r="D572" i="29"/>
  <c r="E571" i="29"/>
  <c r="D571" i="29"/>
  <c r="E570" i="29"/>
  <c r="D570" i="29"/>
  <c r="E569" i="29"/>
  <c r="D569" i="29"/>
  <c r="E568" i="29"/>
  <c r="D568" i="29"/>
  <c r="E567" i="29"/>
  <c r="D567" i="29"/>
  <c r="E566" i="29"/>
  <c r="D566" i="29"/>
  <c r="E565" i="29"/>
  <c r="D565" i="29"/>
  <c r="E564" i="29"/>
  <c r="D564" i="29"/>
  <c r="E563" i="29"/>
  <c r="D563" i="29"/>
  <c r="E562" i="29"/>
  <c r="D562" i="29"/>
  <c r="E561" i="29"/>
  <c r="D561" i="29"/>
  <c r="E560" i="29"/>
  <c r="D560" i="29"/>
  <c r="E559" i="29"/>
  <c r="D559" i="29"/>
  <c r="E558" i="29"/>
  <c r="D558" i="29"/>
  <c r="E557" i="29"/>
  <c r="D557" i="29"/>
  <c r="E556" i="29"/>
  <c r="D556" i="29"/>
  <c r="E555" i="29"/>
  <c r="D555" i="29"/>
  <c r="E554" i="29"/>
  <c r="D554" i="29"/>
  <c r="E553" i="29"/>
  <c r="D553" i="29"/>
  <c r="E552" i="29"/>
  <c r="D552" i="29"/>
  <c r="E551" i="29"/>
  <c r="D551" i="29"/>
  <c r="E550" i="29"/>
  <c r="D550" i="29"/>
  <c r="E549" i="29"/>
  <c r="D549" i="29"/>
  <c r="E548" i="29"/>
  <c r="D548" i="29"/>
  <c r="E547" i="29"/>
  <c r="D547" i="29"/>
  <c r="E546" i="29"/>
  <c r="D546" i="29"/>
  <c r="E545" i="29"/>
  <c r="D545" i="29"/>
  <c r="E544" i="29"/>
  <c r="D544" i="29"/>
  <c r="E543" i="29"/>
  <c r="D543" i="29"/>
  <c r="E542" i="29"/>
  <c r="D542" i="29"/>
  <c r="E541" i="29"/>
  <c r="D541" i="29"/>
  <c r="E540" i="29"/>
  <c r="D540" i="29"/>
  <c r="E539" i="29"/>
  <c r="D539" i="29"/>
  <c r="E538" i="29"/>
  <c r="D538" i="29"/>
  <c r="E537" i="29"/>
  <c r="D537" i="29"/>
  <c r="E536" i="29"/>
  <c r="D536" i="29"/>
  <c r="E535" i="29"/>
  <c r="D535" i="29"/>
  <c r="E534" i="29"/>
  <c r="D534" i="29"/>
  <c r="E533" i="29"/>
  <c r="D533" i="29"/>
  <c r="E532" i="29"/>
  <c r="D532" i="29"/>
  <c r="E531" i="29"/>
  <c r="D531" i="29"/>
  <c r="E530" i="29"/>
  <c r="D530" i="29"/>
  <c r="E529" i="29"/>
  <c r="D529" i="29"/>
  <c r="E528" i="29"/>
  <c r="D528" i="29"/>
  <c r="E527" i="29"/>
  <c r="D527" i="29"/>
  <c r="E526" i="29"/>
  <c r="D526" i="29"/>
  <c r="E525" i="29"/>
  <c r="D525" i="29"/>
  <c r="E524" i="29"/>
  <c r="D524" i="29"/>
  <c r="E523" i="29"/>
  <c r="D523" i="29"/>
  <c r="E522" i="29"/>
  <c r="D522" i="29"/>
  <c r="E521" i="29"/>
  <c r="D521" i="29"/>
  <c r="E520" i="29"/>
  <c r="D520" i="29"/>
  <c r="E519" i="29"/>
  <c r="D519" i="29"/>
  <c r="E518" i="29"/>
  <c r="D518" i="29"/>
  <c r="E517" i="29"/>
  <c r="D517" i="29"/>
  <c r="E516" i="29"/>
  <c r="D516" i="29"/>
  <c r="E515" i="29"/>
  <c r="D515" i="29"/>
  <c r="E514" i="29"/>
  <c r="D514" i="29"/>
  <c r="E513" i="29"/>
  <c r="D513" i="29"/>
  <c r="E512" i="29"/>
  <c r="D512" i="29"/>
  <c r="E511" i="29"/>
  <c r="D511" i="29"/>
  <c r="E510" i="29"/>
  <c r="D510" i="29"/>
  <c r="E509" i="29"/>
  <c r="D509" i="29"/>
  <c r="E508" i="29"/>
  <c r="D508" i="29"/>
  <c r="E507" i="29"/>
  <c r="D507" i="29"/>
  <c r="E506" i="29"/>
  <c r="D506" i="29"/>
  <c r="E505" i="29"/>
  <c r="D505" i="29"/>
  <c r="E504" i="29"/>
  <c r="D504" i="29"/>
  <c r="E503" i="29"/>
  <c r="D503" i="29"/>
  <c r="E502" i="29"/>
  <c r="D502" i="29"/>
  <c r="E501" i="29"/>
  <c r="D501" i="29"/>
  <c r="E500" i="29"/>
  <c r="D500" i="29"/>
  <c r="E499" i="29"/>
  <c r="D499" i="29"/>
  <c r="E498" i="29"/>
  <c r="D498" i="29"/>
  <c r="E497" i="29"/>
  <c r="D497" i="29"/>
  <c r="E496" i="29"/>
  <c r="D496" i="29"/>
  <c r="E495" i="29"/>
  <c r="D495" i="29"/>
  <c r="E494" i="29"/>
  <c r="D494" i="29"/>
  <c r="E493" i="29"/>
  <c r="D493" i="29"/>
  <c r="E492" i="29"/>
  <c r="D492" i="29"/>
  <c r="E491" i="29"/>
  <c r="D491" i="29"/>
  <c r="E490" i="29"/>
  <c r="D490" i="29"/>
  <c r="E489" i="29"/>
  <c r="D489" i="29"/>
  <c r="E488" i="29"/>
  <c r="D488" i="29"/>
  <c r="E487" i="29"/>
  <c r="D487" i="29"/>
  <c r="E486" i="29"/>
  <c r="D486" i="29"/>
  <c r="E485" i="29"/>
  <c r="D485" i="29"/>
  <c r="E484" i="29"/>
  <c r="D484" i="29"/>
  <c r="E483" i="29"/>
  <c r="D483" i="29"/>
  <c r="E482" i="29"/>
  <c r="D482" i="29"/>
  <c r="E481" i="29"/>
  <c r="D481" i="29"/>
  <c r="E480" i="29"/>
  <c r="D480" i="29"/>
  <c r="E479" i="29"/>
  <c r="D479" i="29"/>
  <c r="E478" i="29"/>
  <c r="D478" i="29"/>
  <c r="E477" i="29"/>
  <c r="D477" i="29"/>
  <c r="E476" i="29"/>
  <c r="D476" i="29"/>
  <c r="E475" i="29"/>
  <c r="D475" i="29"/>
  <c r="E474" i="29"/>
  <c r="D474" i="29"/>
  <c r="E473" i="29"/>
  <c r="D473" i="29"/>
  <c r="E472" i="29"/>
  <c r="D472" i="29"/>
  <c r="E471" i="29"/>
  <c r="D471" i="29"/>
  <c r="E470" i="29"/>
  <c r="D470" i="29"/>
  <c r="E469" i="29"/>
  <c r="D469" i="29"/>
  <c r="E468" i="29"/>
  <c r="D468" i="29"/>
  <c r="E467" i="29"/>
  <c r="D467" i="29"/>
  <c r="E466" i="29"/>
  <c r="D466" i="29"/>
  <c r="E465" i="29"/>
  <c r="D465" i="29"/>
  <c r="E464" i="29"/>
  <c r="D464" i="29"/>
  <c r="E463" i="29"/>
  <c r="D463" i="29"/>
  <c r="X362" i="12"/>
  <c r="W362" i="12"/>
  <c r="AD362" i="12" s="1"/>
  <c r="V362" i="12"/>
  <c r="X361" i="12"/>
  <c r="W361" i="12"/>
  <c r="AD361" i="12" s="1"/>
  <c r="V361" i="12"/>
  <c r="X360" i="12"/>
  <c r="W360" i="12"/>
  <c r="AD360" i="12" s="1"/>
  <c r="V360" i="12"/>
  <c r="X359" i="12"/>
  <c r="W359" i="12"/>
  <c r="AD359" i="12" s="1"/>
  <c r="V359" i="12"/>
  <c r="X357" i="12"/>
  <c r="W357" i="12"/>
  <c r="AD357" i="12" s="1"/>
  <c r="V357" i="12"/>
  <c r="N357" i="12"/>
  <c r="J357" i="12"/>
  <c r="H357" i="12" s="1"/>
  <c r="S362" i="12" s="1"/>
  <c r="X356" i="12"/>
  <c r="W356" i="12"/>
  <c r="AD356" i="12" s="1"/>
  <c r="V356" i="12"/>
  <c r="X355" i="12"/>
  <c r="W355" i="12"/>
  <c r="AD355" i="12" s="1"/>
  <c r="AD367" i="12" s="1"/>
  <c r="V355" i="12"/>
  <c r="X354" i="12"/>
  <c r="W354" i="12"/>
  <c r="AD354" i="12" s="1"/>
  <c r="V354" i="12"/>
  <c r="X353" i="12"/>
  <c r="W353" i="12"/>
  <c r="AD353" i="12" s="1"/>
  <c r="AD365" i="12" s="1"/>
  <c r="L801" i="29" s="1"/>
  <c r="V353" i="12"/>
  <c r="X351" i="12"/>
  <c r="W351" i="12"/>
  <c r="AD351" i="12" s="1"/>
  <c r="V351" i="12"/>
  <c r="N351" i="12"/>
  <c r="J351" i="12"/>
  <c r="H351" i="12" s="1"/>
  <c r="X343" i="12"/>
  <c r="W343" i="12"/>
  <c r="AD343" i="12" s="1"/>
  <c r="V343" i="12"/>
  <c r="X342" i="12"/>
  <c r="W342" i="12"/>
  <c r="AD342" i="12" s="1"/>
  <c r="V342" i="12"/>
  <c r="X341" i="12"/>
  <c r="W341" i="12"/>
  <c r="AD341" i="12" s="1"/>
  <c r="V341" i="12"/>
  <c r="X340" i="12"/>
  <c r="W340" i="12"/>
  <c r="AD340" i="12" s="1"/>
  <c r="V340" i="12"/>
  <c r="X338" i="12"/>
  <c r="W338" i="12"/>
  <c r="AD339" i="12" s="1"/>
  <c r="V338" i="12"/>
  <c r="N338" i="12"/>
  <c r="J338" i="12"/>
  <c r="H338" i="12" s="1"/>
  <c r="X337" i="12"/>
  <c r="W337" i="12"/>
  <c r="AD337" i="12" s="1"/>
  <c r="V337" i="12"/>
  <c r="X336" i="12"/>
  <c r="W336" i="12"/>
  <c r="AD336" i="12" s="1"/>
  <c r="V336" i="12"/>
  <c r="X335" i="12"/>
  <c r="W335" i="12"/>
  <c r="AD335" i="12" s="1"/>
  <c r="V335" i="12"/>
  <c r="X334" i="12"/>
  <c r="W334" i="12"/>
  <c r="AD334" i="12" s="1"/>
  <c r="AD346" i="12" s="1"/>
  <c r="V334" i="12"/>
  <c r="X332" i="12"/>
  <c r="W332" i="12"/>
  <c r="AD333" i="12" s="1"/>
  <c r="V332" i="12"/>
  <c r="N332" i="12"/>
  <c r="J332" i="12"/>
  <c r="H332" i="12" s="1"/>
  <c r="X330" i="12"/>
  <c r="W330" i="12"/>
  <c r="AD330" i="12" s="1"/>
  <c r="V330" i="12"/>
  <c r="X329" i="12"/>
  <c r="W329" i="12"/>
  <c r="AD329" i="12" s="1"/>
  <c r="V329" i="12"/>
  <c r="X328" i="12"/>
  <c r="W328" i="12"/>
  <c r="AD328" i="12" s="1"/>
  <c r="V328" i="12"/>
  <c r="X327" i="12"/>
  <c r="W327" i="12"/>
  <c r="AD327" i="12" s="1"/>
  <c r="V327" i="12"/>
  <c r="X325" i="12"/>
  <c r="W325" i="12"/>
  <c r="AD326" i="12" s="1"/>
  <c r="V325" i="12"/>
  <c r="N325" i="12"/>
  <c r="J325" i="12"/>
  <c r="H325" i="12" s="1"/>
  <c r="X323" i="12"/>
  <c r="W323" i="12"/>
  <c r="AD323" i="12" s="1"/>
  <c r="V323" i="12"/>
  <c r="X322" i="12"/>
  <c r="W322" i="12"/>
  <c r="AD322" i="12" s="1"/>
  <c r="V322" i="12"/>
  <c r="X321" i="12"/>
  <c r="W321" i="12"/>
  <c r="AD321" i="12" s="1"/>
  <c r="V321" i="12"/>
  <c r="X320" i="12"/>
  <c r="W320" i="12"/>
  <c r="AD320" i="12" s="1"/>
  <c r="V320" i="12"/>
  <c r="X318" i="12"/>
  <c r="W318" i="12"/>
  <c r="AD318" i="12" s="1"/>
  <c r="V318" i="12"/>
  <c r="N318" i="12"/>
  <c r="J318" i="12"/>
  <c r="H318" i="12" s="1"/>
  <c r="X316" i="12"/>
  <c r="W316" i="12"/>
  <c r="AD316" i="12" s="1"/>
  <c r="V316" i="12"/>
  <c r="X315" i="12"/>
  <c r="W315" i="12"/>
  <c r="AD315" i="12" s="1"/>
  <c r="V315" i="12"/>
  <c r="X314" i="12"/>
  <c r="W314" i="12"/>
  <c r="AD314" i="12" s="1"/>
  <c r="V314" i="12"/>
  <c r="X313" i="12"/>
  <c r="W313" i="12"/>
  <c r="AD313" i="12" s="1"/>
  <c r="V313" i="12"/>
  <c r="X311" i="12"/>
  <c r="W311" i="12"/>
  <c r="AD312" i="12" s="1"/>
  <c r="V311" i="12"/>
  <c r="N311" i="12"/>
  <c r="J311" i="12"/>
  <c r="H311" i="12" s="1"/>
  <c r="X309" i="12"/>
  <c r="W309" i="12"/>
  <c r="AD309" i="12" s="1"/>
  <c r="V309" i="12"/>
  <c r="X308" i="12"/>
  <c r="W308" i="12"/>
  <c r="AD308" i="12" s="1"/>
  <c r="V308" i="12"/>
  <c r="X307" i="12"/>
  <c r="W307" i="12"/>
  <c r="AD307" i="12" s="1"/>
  <c r="V307" i="12"/>
  <c r="X306" i="12"/>
  <c r="W306" i="12"/>
  <c r="AD306" i="12" s="1"/>
  <c r="V306" i="12"/>
  <c r="X304" i="12"/>
  <c r="W304" i="12"/>
  <c r="AD304" i="12" s="1"/>
  <c r="V304" i="12"/>
  <c r="N304" i="12"/>
  <c r="J304" i="12"/>
  <c r="H304" i="12" s="1"/>
  <c r="T309" i="12" s="1"/>
  <c r="X302" i="12"/>
  <c r="W302" i="12"/>
  <c r="AD302" i="12" s="1"/>
  <c r="V302" i="12"/>
  <c r="X301" i="12"/>
  <c r="W301" i="12"/>
  <c r="AD301" i="12" s="1"/>
  <c r="V301" i="12"/>
  <c r="X300" i="12"/>
  <c r="W300" i="12"/>
  <c r="AD300" i="12" s="1"/>
  <c r="V300" i="12"/>
  <c r="X299" i="12"/>
  <c r="W299" i="12"/>
  <c r="AD299" i="12" s="1"/>
  <c r="V299" i="12"/>
  <c r="X297" i="12"/>
  <c r="W297" i="12"/>
  <c r="AD298" i="12" s="1"/>
  <c r="V297" i="12"/>
  <c r="N297" i="12"/>
  <c r="J297" i="12"/>
  <c r="H297" i="12" s="1"/>
  <c r="T297" i="12" s="1"/>
  <c r="X295" i="12"/>
  <c r="W295" i="12"/>
  <c r="AD295" i="12" s="1"/>
  <c r="V295" i="12"/>
  <c r="X294" i="12"/>
  <c r="W294" i="12"/>
  <c r="AD294" i="12" s="1"/>
  <c r="V294" i="12"/>
  <c r="X293" i="12"/>
  <c r="W293" i="12"/>
  <c r="AD293" i="12" s="1"/>
  <c r="V293" i="12"/>
  <c r="X292" i="12"/>
  <c r="W292" i="12"/>
  <c r="AD292" i="12" s="1"/>
  <c r="V292" i="12"/>
  <c r="X290" i="12"/>
  <c r="W290" i="12"/>
  <c r="AD290" i="12" s="1"/>
  <c r="V290" i="12"/>
  <c r="N290" i="12"/>
  <c r="J290" i="12"/>
  <c r="H290" i="12" s="1"/>
  <c r="T295" i="12" s="1"/>
  <c r="X288" i="12"/>
  <c r="W288" i="12"/>
  <c r="AD288" i="12" s="1"/>
  <c r="L672" i="29" s="1"/>
  <c r="V288" i="12"/>
  <c r="X287" i="12"/>
  <c r="W287" i="12"/>
  <c r="AD287" i="12" s="1"/>
  <c r="L671" i="29" s="1"/>
  <c r="V287" i="12"/>
  <c r="X286" i="12"/>
  <c r="W286" i="12"/>
  <c r="AD286" i="12" s="1"/>
  <c r="L670" i="29" s="1"/>
  <c r="V286" i="12"/>
  <c r="X285" i="12"/>
  <c r="W285" i="12"/>
  <c r="AD285" i="12" s="1"/>
  <c r="L669" i="29" s="1"/>
  <c r="V285" i="12"/>
  <c r="X283" i="12"/>
  <c r="W283" i="12"/>
  <c r="AD283" i="12" s="1"/>
  <c r="L667" i="29" s="1"/>
  <c r="V283" i="12"/>
  <c r="N283" i="12"/>
  <c r="J283" i="12"/>
  <c r="H283" i="12" s="1"/>
  <c r="S288" i="12" s="1"/>
  <c r="X281" i="12"/>
  <c r="W281" i="12"/>
  <c r="AD281" i="12" s="1"/>
  <c r="V281" i="12"/>
  <c r="X280" i="12"/>
  <c r="W280" i="12"/>
  <c r="AD280" i="12" s="1"/>
  <c r="V280" i="12"/>
  <c r="X279" i="12"/>
  <c r="W279" i="12"/>
  <c r="AD279" i="12" s="1"/>
  <c r="V279" i="12"/>
  <c r="X278" i="12"/>
  <c r="W278" i="12"/>
  <c r="AD278" i="12" s="1"/>
  <c r="V278" i="12"/>
  <c r="X276" i="12"/>
  <c r="W276" i="12"/>
  <c r="AD277" i="12" s="1"/>
  <c r="V276" i="12"/>
  <c r="N276" i="12"/>
  <c r="J276" i="12"/>
  <c r="H276" i="12" s="1"/>
  <c r="S278" i="12" s="1"/>
  <c r="X274" i="12"/>
  <c r="W274" i="12"/>
  <c r="AD274" i="12" s="1"/>
  <c r="V274" i="12"/>
  <c r="X273" i="12"/>
  <c r="W273" i="12"/>
  <c r="AD273" i="12" s="1"/>
  <c r="V273" i="12"/>
  <c r="X272" i="12"/>
  <c r="W272" i="12"/>
  <c r="AD272" i="12" s="1"/>
  <c r="V272" i="12"/>
  <c r="X271" i="12"/>
  <c r="W271" i="12"/>
  <c r="AD271" i="12" s="1"/>
  <c r="V271" i="12"/>
  <c r="X269" i="12"/>
  <c r="W269" i="12"/>
  <c r="AD269" i="12" s="1"/>
  <c r="V269" i="12"/>
  <c r="N269" i="12"/>
  <c r="J269" i="12"/>
  <c r="H269" i="12" s="1"/>
  <c r="U274" i="12" s="1"/>
  <c r="X267" i="12"/>
  <c r="W267" i="12"/>
  <c r="AD267" i="12" s="1"/>
  <c r="V267" i="12"/>
  <c r="X266" i="12"/>
  <c r="W266" i="12"/>
  <c r="AD266" i="12" s="1"/>
  <c r="V266" i="12"/>
  <c r="X265" i="12"/>
  <c r="W265" i="12"/>
  <c r="AD265" i="12" s="1"/>
  <c r="V265" i="12"/>
  <c r="X264" i="12"/>
  <c r="W264" i="12"/>
  <c r="AD264" i="12" s="1"/>
  <c r="V264" i="12"/>
  <c r="X262" i="12"/>
  <c r="W262" i="12"/>
  <c r="AD263" i="12" s="1"/>
  <c r="V262" i="12"/>
  <c r="N262" i="12"/>
  <c r="J262" i="12"/>
  <c r="H262" i="12" s="1"/>
  <c r="X260" i="12"/>
  <c r="W260" i="12"/>
  <c r="AD260" i="12" s="1"/>
  <c r="V260" i="12"/>
  <c r="X259" i="12"/>
  <c r="W259" i="12"/>
  <c r="AD259" i="12" s="1"/>
  <c r="V259" i="12"/>
  <c r="X258" i="12"/>
  <c r="W258" i="12"/>
  <c r="AD258" i="12" s="1"/>
  <c r="V258" i="12"/>
  <c r="X257" i="12"/>
  <c r="W257" i="12"/>
  <c r="AD257" i="12" s="1"/>
  <c r="V257" i="12"/>
  <c r="X255" i="12"/>
  <c r="W255" i="12"/>
  <c r="AD255" i="12" s="1"/>
  <c r="V255" i="12"/>
  <c r="N255" i="12"/>
  <c r="J255" i="12"/>
  <c r="H255" i="12" s="1"/>
  <c r="X253" i="12"/>
  <c r="W253" i="12"/>
  <c r="AD253" i="12" s="1"/>
  <c r="V253" i="12"/>
  <c r="X252" i="12"/>
  <c r="W252" i="12"/>
  <c r="AD252" i="12" s="1"/>
  <c r="V252" i="12"/>
  <c r="X251" i="12"/>
  <c r="W251" i="12"/>
  <c r="AD251" i="12" s="1"/>
  <c r="V251" i="12"/>
  <c r="X250" i="12"/>
  <c r="W250" i="12"/>
  <c r="AD250" i="12" s="1"/>
  <c r="V250" i="12"/>
  <c r="X248" i="12"/>
  <c r="W248" i="12"/>
  <c r="AD249" i="12" s="1"/>
  <c r="V248" i="12"/>
  <c r="N248" i="12"/>
  <c r="J248" i="12"/>
  <c r="H248" i="12" s="1"/>
  <c r="U248" i="12" s="1"/>
  <c r="X246" i="12"/>
  <c r="W246" i="12"/>
  <c r="AD246" i="12" s="1"/>
  <c r="V246" i="12"/>
  <c r="X245" i="12"/>
  <c r="W245" i="12"/>
  <c r="AD245" i="12" s="1"/>
  <c r="V245" i="12"/>
  <c r="X244" i="12"/>
  <c r="W244" i="12"/>
  <c r="AD244" i="12" s="1"/>
  <c r="V244" i="12"/>
  <c r="X243" i="12"/>
  <c r="W243" i="12"/>
  <c r="AD243" i="12" s="1"/>
  <c r="V243" i="12"/>
  <c r="X241" i="12"/>
  <c r="W241" i="12"/>
  <c r="AD241" i="12" s="1"/>
  <c r="V241" i="12"/>
  <c r="N241" i="12"/>
  <c r="J241" i="12"/>
  <c r="H241" i="12" s="1"/>
  <c r="X239" i="12"/>
  <c r="W239" i="12"/>
  <c r="AD239" i="12" s="1"/>
  <c r="V239" i="12"/>
  <c r="X238" i="12"/>
  <c r="W238" i="12"/>
  <c r="AD238" i="12" s="1"/>
  <c r="V238" i="12"/>
  <c r="X237" i="12"/>
  <c r="W237" i="12"/>
  <c r="AD237" i="12" s="1"/>
  <c r="V237" i="12"/>
  <c r="X236" i="12"/>
  <c r="W236" i="12"/>
  <c r="AD236" i="12" s="1"/>
  <c r="V236" i="12"/>
  <c r="X234" i="12"/>
  <c r="W234" i="12"/>
  <c r="AD235" i="12" s="1"/>
  <c r="V234" i="12"/>
  <c r="N234" i="12"/>
  <c r="J234" i="12"/>
  <c r="H234" i="12" s="1"/>
  <c r="U234" i="12" s="1"/>
  <c r="X232" i="12"/>
  <c r="W232" i="12"/>
  <c r="AD232" i="12" s="1"/>
  <c r="V232" i="12"/>
  <c r="X231" i="12"/>
  <c r="W231" i="12"/>
  <c r="AD231" i="12" s="1"/>
  <c r="V231" i="12"/>
  <c r="X230" i="12"/>
  <c r="W230" i="12"/>
  <c r="AD230" i="12" s="1"/>
  <c r="V230" i="12"/>
  <c r="X229" i="12"/>
  <c r="W229" i="12"/>
  <c r="AD229" i="12" s="1"/>
  <c r="V229" i="12"/>
  <c r="X227" i="12"/>
  <c r="W227" i="12"/>
  <c r="V227" i="12"/>
  <c r="N227" i="12"/>
  <c r="J227" i="12"/>
  <c r="H227" i="12" s="1"/>
  <c r="X225" i="12"/>
  <c r="W225" i="12"/>
  <c r="AD225" i="12" s="1"/>
  <c r="V225" i="12"/>
  <c r="X224" i="12"/>
  <c r="W224" i="12"/>
  <c r="AD224" i="12" s="1"/>
  <c r="V224" i="12"/>
  <c r="X223" i="12"/>
  <c r="W223" i="12"/>
  <c r="AD223" i="12" s="1"/>
  <c r="V223" i="12"/>
  <c r="X222" i="12"/>
  <c r="W222" i="12"/>
  <c r="AD222" i="12" s="1"/>
  <c r="V222" i="12"/>
  <c r="X220" i="12"/>
  <c r="W220" i="12"/>
  <c r="AD220" i="12" s="1"/>
  <c r="V220" i="12"/>
  <c r="N220" i="12"/>
  <c r="J220" i="12"/>
  <c r="H220" i="12" s="1"/>
  <c r="S225" i="12" s="1"/>
  <c r="X218" i="12"/>
  <c r="W218" i="12"/>
  <c r="AD218" i="12" s="1"/>
  <c r="V218" i="12"/>
  <c r="X217" i="12"/>
  <c r="W217" i="12"/>
  <c r="AD217" i="12" s="1"/>
  <c r="V217" i="12"/>
  <c r="X216" i="12"/>
  <c r="W216" i="12"/>
  <c r="AD216" i="12" s="1"/>
  <c r="V216" i="12"/>
  <c r="X215" i="12"/>
  <c r="W215" i="12"/>
  <c r="AD215" i="12" s="1"/>
  <c r="V215" i="12"/>
  <c r="X213" i="12"/>
  <c r="W213" i="12"/>
  <c r="AD214" i="12" s="1"/>
  <c r="V213" i="12"/>
  <c r="N213" i="12"/>
  <c r="J213" i="12"/>
  <c r="H213" i="12" s="1"/>
  <c r="T216" i="12" s="1"/>
  <c r="X211" i="12"/>
  <c r="W211" i="12"/>
  <c r="AD211" i="12" s="1"/>
  <c r="L492" i="29" s="1"/>
  <c r="V211" i="12"/>
  <c r="X210" i="12"/>
  <c r="W210" i="12"/>
  <c r="AD210" i="12" s="1"/>
  <c r="L491" i="29" s="1"/>
  <c r="V210" i="12"/>
  <c r="X209" i="12"/>
  <c r="W209" i="12"/>
  <c r="AD209" i="12" s="1"/>
  <c r="L490" i="29" s="1"/>
  <c r="V209" i="12"/>
  <c r="X208" i="12"/>
  <c r="W208" i="12"/>
  <c r="AD208" i="12" s="1"/>
  <c r="L489" i="29" s="1"/>
  <c r="V208" i="12"/>
  <c r="X206" i="12"/>
  <c r="W206" i="12"/>
  <c r="V206" i="12"/>
  <c r="N206" i="12"/>
  <c r="J206" i="12"/>
  <c r="H206" i="12" s="1"/>
  <c r="U211" i="12" s="1"/>
  <c r="X204" i="12"/>
  <c r="W204" i="12"/>
  <c r="AD204" i="12" s="1"/>
  <c r="V204" i="12"/>
  <c r="X203" i="12"/>
  <c r="W203" i="12"/>
  <c r="AD203" i="12" s="1"/>
  <c r="V203" i="12"/>
  <c r="X202" i="12"/>
  <c r="W202" i="12"/>
  <c r="AD202" i="12" s="1"/>
  <c r="V202" i="12"/>
  <c r="X201" i="12"/>
  <c r="W201" i="12"/>
  <c r="AD201" i="12" s="1"/>
  <c r="V201" i="12"/>
  <c r="X199" i="12"/>
  <c r="W199" i="12"/>
  <c r="AD200" i="12" s="1"/>
  <c r="V199" i="12"/>
  <c r="N199" i="12"/>
  <c r="J199" i="12"/>
  <c r="H199" i="12" s="1"/>
  <c r="T202" i="12" s="1"/>
  <c r="X197" i="12"/>
  <c r="W197" i="12"/>
  <c r="AD197" i="12" s="1"/>
  <c r="V197" i="12"/>
  <c r="X196" i="12"/>
  <c r="W196" i="12"/>
  <c r="AD196" i="12" s="1"/>
  <c r="V196" i="12"/>
  <c r="X195" i="12"/>
  <c r="W195" i="12"/>
  <c r="AD195" i="12" s="1"/>
  <c r="V195" i="12"/>
  <c r="X194" i="12"/>
  <c r="W194" i="12"/>
  <c r="AD194" i="12" s="1"/>
  <c r="V194" i="12"/>
  <c r="X192" i="12"/>
  <c r="W192" i="12"/>
  <c r="AD192" i="12" s="1"/>
  <c r="V192" i="12"/>
  <c r="N192" i="12"/>
  <c r="J192" i="12"/>
  <c r="H192" i="12" s="1"/>
  <c r="T194" i="12" s="1"/>
  <c r="X190" i="12"/>
  <c r="W190" i="12"/>
  <c r="AD190" i="12" s="1"/>
  <c r="V190" i="12"/>
  <c r="X189" i="12"/>
  <c r="W189" i="12"/>
  <c r="AD189" i="12" s="1"/>
  <c r="V189" i="12"/>
  <c r="X188" i="12"/>
  <c r="W188" i="12"/>
  <c r="AD188" i="12" s="1"/>
  <c r="V188" i="12"/>
  <c r="X187" i="12"/>
  <c r="W187" i="12"/>
  <c r="AD187" i="12" s="1"/>
  <c r="V187" i="12"/>
  <c r="X185" i="12"/>
  <c r="W185" i="12"/>
  <c r="AD186" i="12" s="1"/>
  <c r="V185" i="12"/>
  <c r="N185" i="12"/>
  <c r="J185" i="12"/>
  <c r="H185" i="12" s="1"/>
  <c r="X183" i="12"/>
  <c r="W183" i="12"/>
  <c r="AD183" i="12" s="1"/>
  <c r="V183" i="12"/>
  <c r="X182" i="12"/>
  <c r="W182" i="12"/>
  <c r="AD182" i="12" s="1"/>
  <c r="L467" i="29" s="1"/>
  <c r="V182" i="12"/>
  <c r="X181" i="12"/>
  <c r="W181" i="12"/>
  <c r="AD181" i="12" s="1"/>
  <c r="V181" i="12"/>
  <c r="X180" i="12"/>
  <c r="W180" i="12"/>
  <c r="AD180" i="12" s="1"/>
  <c r="V180" i="12"/>
  <c r="X178" i="12"/>
  <c r="W178" i="12"/>
  <c r="AD178" i="12" s="1"/>
  <c r="V178" i="12"/>
  <c r="N178" i="12"/>
  <c r="J178" i="12"/>
  <c r="H178" i="12" s="1"/>
  <c r="E792" i="29"/>
  <c r="D792" i="29"/>
  <c r="E791" i="29"/>
  <c r="D791" i="29"/>
  <c r="E790" i="29"/>
  <c r="D790" i="29"/>
  <c r="E789" i="29"/>
  <c r="D789" i="29"/>
  <c r="E788" i="29"/>
  <c r="D788" i="29"/>
  <c r="E787" i="29"/>
  <c r="D787" i="29"/>
  <c r="E786" i="29"/>
  <c r="D786" i="29"/>
  <c r="E785" i="29"/>
  <c r="D785" i="29"/>
  <c r="E784" i="29"/>
  <c r="D784" i="29"/>
  <c r="E783" i="29"/>
  <c r="D783" i="29"/>
  <c r="E782" i="29"/>
  <c r="D782" i="29"/>
  <c r="E781" i="29"/>
  <c r="D781" i="29"/>
  <c r="E780" i="29"/>
  <c r="D780" i="29"/>
  <c r="E779" i="29"/>
  <c r="D779" i="29"/>
  <c r="E778" i="29"/>
  <c r="D778" i="29"/>
  <c r="E777" i="29"/>
  <c r="D777" i="29"/>
  <c r="E776" i="29"/>
  <c r="D776" i="29"/>
  <c r="E775" i="29"/>
  <c r="D775" i="29"/>
  <c r="E774" i="29"/>
  <c r="D774" i="29"/>
  <c r="E773" i="29"/>
  <c r="D773" i="29"/>
  <c r="E772" i="29"/>
  <c r="D772" i="29"/>
  <c r="E771" i="29"/>
  <c r="D771" i="29"/>
  <c r="E770" i="29"/>
  <c r="D770" i="29"/>
  <c r="E769" i="29"/>
  <c r="D769" i="29"/>
  <c r="E456" i="29"/>
  <c r="D456" i="29"/>
  <c r="E455" i="29"/>
  <c r="D455" i="29"/>
  <c r="E454" i="29"/>
  <c r="D454" i="29"/>
  <c r="E453" i="29"/>
  <c r="D453" i="29"/>
  <c r="E452" i="29"/>
  <c r="D452" i="29"/>
  <c r="E451" i="29"/>
  <c r="D451" i="29"/>
  <c r="E450" i="29"/>
  <c r="D450" i="29"/>
  <c r="E449" i="29"/>
  <c r="D449" i="29"/>
  <c r="E448" i="29"/>
  <c r="D448" i="29"/>
  <c r="E447" i="29"/>
  <c r="D447" i="29"/>
  <c r="E446" i="29"/>
  <c r="D446" i="29"/>
  <c r="E445" i="29"/>
  <c r="D445" i="29"/>
  <c r="E444" i="29"/>
  <c r="D444" i="29"/>
  <c r="E443" i="29"/>
  <c r="D443" i="29"/>
  <c r="E442" i="29"/>
  <c r="D442" i="29"/>
  <c r="E441" i="29"/>
  <c r="D441" i="29"/>
  <c r="E440" i="29"/>
  <c r="D440" i="29"/>
  <c r="E439" i="29"/>
  <c r="D439" i="29"/>
  <c r="E438" i="29"/>
  <c r="D438" i="29"/>
  <c r="E437" i="29"/>
  <c r="D437" i="29"/>
  <c r="E436" i="29"/>
  <c r="D436" i="29"/>
  <c r="E435" i="29"/>
  <c r="D435" i="29"/>
  <c r="E434" i="29"/>
  <c r="D434" i="29"/>
  <c r="E433" i="29"/>
  <c r="D433" i="29"/>
  <c r="E432" i="29"/>
  <c r="D432" i="29"/>
  <c r="E431" i="29"/>
  <c r="D431" i="29"/>
  <c r="E430" i="29"/>
  <c r="D430" i="29"/>
  <c r="E429" i="29"/>
  <c r="D429" i="29"/>
  <c r="E428" i="29"/>
  <c r="D428" i="29"/>
  <c r="E427" i="29"/>
  <c r="D427" i="29"/>
  <c r="E426" i="29"/>
  <c r="D426" i="29"/>
  <c r="E425" i="29"/>
  <c r="D425" i="29"/>
  <c r="E424" i="29"/>
  <c r="D424" i="29"/>
  <c r="E423" i="29"/>
  <c r="D423" i="29"/>
  <c r="E422" i="29"/>
  <c r="D422" i="29"/>
  <c r="E421" i="29"/>
  <c r="D421" i="29"/>
  <c r="E420" i="29"/>
  <c r="D420" i="29"/>
  <c r="E419" i="29"/>
  <c r="D419" i="29"/>
  <c r="E418" i="29"/>
  <c r="D418" i="29"/>
  <c r="E417" i="29"/>
  <c r="D417" i="29"/>
  <c r="E416" i="29"/>
  <c r="D416" i="29"/>
  <c r="E415" i="29"/>
  <c r="D415" i="29"/>
  <c r="E414" i="29"/>
  <c r="D414" i="29"/>
  <c r="E413" i="29"/>
  <c r="D413" i="29"/>
  <c r="E412" i="29"/>
  <c r="D412" i="29"/>
  <c r="E411" i="29"/>
  <c r="D411" i="29"/>
  <c r="E410" i="29"/>
  <c r="D410" i="29"/>
  <c r="E403" i="29"/>
  <c r="D403" i="29"/>
  <c r="AA285" i="8"/>
  <c r="Z285" i="8"/>
  <c r="Y285" i="8"/>
  <c r="X285" i="8"/>
  <c r="AG285" i="8" s="1"/>
  <c r="L768" i="29" s="1"/>
  <c r="W285" i="8"/>
  <c r="V285" i="8"/>
  <c r="AA284" i="8"/>
  <c r="Z284" i="8"/>
  <c r="Y284" i="8"/>
  <c r="X284" i="8"/>
  <c r="AG284" i="8" s="1"/>
  <c r="L767" i="29" s="1"/>
  <c r="W284" i="8"/>
  <c r="V284" i="8"/>
  <c r="AA283" i="8"/>
  <c r="Z283" i="8"/>
  <c r="Y283" i="8"/>
  <c r="X283" i="8"/>
  <c r="AG283" i="8" s="1"/>
  <c r="L766" i="29" s="1"/>
  <c r="W283" i="8"/>
  <c r="V283" i="8"/>
  <c r="AA282" i="8"/>
  <c r="Z282" i="8"/>
  <c r="Y282" i="8"/>
  <c r="X282" i="8"/>
  <c r="AG282" i="8" s="1"/>
  <c r="L765" i="29" s="1"/>
  <c r="W282" i="8"/>
  <c r="V282" i="8"/>
  <c r="AA280" i="8"/>
  <c r="Z280" i="8"/>
  <c r="Y280" i="8"/>
  <c r="X280" i="8"/>
  <c r="AG280" i="8" s="1"/>
  <c r="L763" i="29" s="1"/>
  <c r="W280" i="8"/>
  <c r="V280" i="8"/>
  <c r="H280" i="8"/>
  <c r="AA278" i="8"/>
  <c r="Z278" i="8"/>
  <c r="Y278" i="8"/>
  <c r="X278" i="8"/>
  <c r="AG278" i="8" s="1"/>
  <c r="W278" i="8"/>
  <c r="V278" i="8"/>
  <c r="AA277" i="8"/>
  <c r="Z277" i="8"/>
  <c r="Y277" i="8"/>
  <c r="X277" i="8"/>
  <c r="AG277" i="8" s="1"/>
  <c r="W277" i="8"/>
  <c r="V277" i="8"/>
  <c r="AA276" i="8"/>
  <c r="Z276" i="8"/>
  <c r="Y276" i="8"/>
  <c r="X276" i="8"/>
  <c r="AG276" i="8" s="1"/>
  <c r="W276" i="8"/>
  <c r="V276" i="8"/>
  <c r="AA275" i="8"/>
  <c r="Z275" i="8"/>
  <c r="Y275" i="8"/>
  <c r="X275" i="8"/>
  <c r="AG275" i="8" s="1"/>
  <c r="W275" i="8"/>
  <c r="V275" i="8"/>
  <c r="AA273" i="8"/>
  <c r="Z273" i="8"/>
  <c r="Y273" i="8"/>
  <c r="X273" i="8"/>
  <c r="AG273" i="8" s="1"/>
  <c r="W273" i="8"/>
  <c r="V273" i="8"/>
  <c r="H273" i="8"/>
  <c r="AA271" i="8"/>
  <c r="Z271" i="8"/>
  <c r="Y271" i="8"/>
  <c r="X271" i="8"/>
  <c r="AG271" i="8" s="1"/>
  <c r="W271" i="8"/>
  <c r="V271" i="8"/>
  <c r="AA270" i="8"/>
  <c r="Z270" i="8"/>
  <c r="Y270" i="8"/>
  <c r="X270" i="8"/>
  <c r="AG270" i="8" s="1"/>
  <c r="W270" i="8"/>
  <c r="V270" i="8"/>
  <c r="AA269" i="8"/>
  <c r="Z269" i="8"/>
  <c r="Y269" i="8"/>
  <c r="X269" i="8"/>
  <c r="AG269" i="8" s="1"/>
  <c r="W269" i="8"/>
  <c r="V269" i="8"/>
  <c r="AA268" i="8"/>
  <c r="Z268" i="8"/>
  <c r="Y268" i="8"/>
  <c r="X268" i="8"/>
  <c r="AG268" i="8" s="1"/>
  <c r="W268" i="8"/>
  <c r="V268" i="8"/>
  <c r="AA266" i="8"/>
  <c r="Z266" i="8"/>
  <c r="Y266" i="8"/>
  <c r="X266" i="8"/>
  <c r="AG266" i="8" s="1"/>
  <c r="W266" i="8"/>
  <c r="V266" i="8"/>
  <c r="H266" i="8"/>
  <c r="AA264" i="8"/>
  <c r="Z264" i="8"/>
  <c r="Y264" i="8"/>
  <c r="X264" i="8"/>
  <c r="AG264" i="8" s="1"/>
  <c r="W264" i="8"/>
  <c r="V264" i="8"/>
  <c r="AA263" i="8"/>
  <c r="Z263" i="8"/>
  <c r="Y263" i="8"/>
  <c r="X263" i="8"/>
  <c r="AG263" i="8" s="1"/>
  <c r="W263" i="8"/>
  <c r="V263" i="8"/>
  <c r="AA262" i="8"/>
  <c r="Z262" i="8"/>
  <c r="Y262" i="8"/>
  <c r="X262" i="8"/>
  <c r="AG262" i="8" s="1"/>
  <c r="W262" i="8"/>
  <c r="V262" i="8"/>
  <c r="AA261" i="8"/>
  <c r="Z261" i="8"/>
  <c r="Y261" i="8"/>
  <c r="X261" i="8"/>
  <c r="AG261" i="8" s="1"/>
  <c r="W261" i="8"/>
  <c r="V261" i="8"/>
  <c r="AA259" i="8"/>
  <c r="Z259" i="8"/>
  <c r="Y259" i="8"/>
  <c r="X259" i="8"/>
  <c r="AG259" i="8" s="1"/>
  <c r="W259" i="8"/>
  <c r="V259" i="8"/>
  <c r="H259" i="8"/>
  <c r="AA257" i="8"/>
  <c r="Z257" i="8"/>
  <c r="Y257" i="8"/>
  <c r="X257" i="8"/>
  <c r="AG257" i="8" s="1"/>
  <c r="W257" i="8"/>
  <c r="V257" i="8"/>
  <c r="AA256" i="8"/>
  <c r="Z256" i="8"/>
  <c r="Y256" i="8"/>
  <c r="X256" i="8"/>
  <c r="AG256" i="8" s="1"/>
  <c r="W256" i="8"/>
  <c r="V256" i="8"/>
  <c r="AA255" i="8"/>
  <c r="Z255" i="8"/>
  <c r="Y255" i="8"/>
  <c r="X255" i="8"/>
  <c r="AG255" i="8" s="1"/>
  <c r="W255" i="8"/>
  <c r="V255" i="8"/>
  <c r="AA254" i="8"/>
  <c r="Z254" i="8"/>
  <c r="Y254" i="8"/>
  <c r="X254" i="8"/>
  <c r="AG254" i="8" s="1"/>
  <c r="W254" i="8"/>
  <c r="V254" i="8"/>
  <c r="AA252" i="8"/>
  <c r="Z252" i="8"/>
  <c r="Y252" i="8"/>
  <c r="X252" i="8"/>
  <c r="W252" i="8"/>
  <c r="V252" i="8"/>
  <c r="H252" i="8"/>
  <c r="AA250" i="8"/>
  <c r="Z250" i="8"/>
  <c r="Y250" i="8"/>
  <c r="X250" i="8"/>
  <c r="AG250" i="8" s="1"/>
  <c r="W250" i="8"/>
  <c r="V250" i="8"/>
  <c r="AA249" i="8"/>
  <c r="Z249" i="8"/>
  <c r="Y249" i="8"/>
  <c r="X249" i="8"/>
  <c r="AG249" i="8" s="1"/>
  <c r="W249" i="8"/>
  <c r="V249" i="8"/>
  <c r="AA248" i="8"/>
  <c r="Z248" i="8"/>
  <c r="Y248" i="8"/>
  <c r="X248" i="8"/>
  <c r="AG248" i="8" s="1"/>
  <c r="W248" i="8"/>
  <c r="V248" i="8"/>
  <c r="AA247" i="8"/>
  <c r="Z247" i="8"/>
  <c r="Y247" i="8"/>
  <c r="X247" i="8"/>
  <c r="AG247" i="8" s="1"/>
  <c r="W247" i="8"/>
  <c r="V247" i="8"/>
  <c r="AA245" i="8"/>
  <c r="Z245" i="8"/>
  <c r="Y245" i="8"/>
  <c r="X245" i="8"/>
  <c r="AG246" i="8" s="1"/>
  <c r="W245" i="8"/>
  <c r="V245" i="8"/>
  <c r="H245" i="8"/>
  <c r="AA243" i="8"/>
  <c r="Z243" i="8"/>
  <c r="Y243" i="8"/>
  <c r="X243" i="8"/>
  <c r="AG243" i="8" s="1"/>
  <c r="W243" i="8"/>
  <c r="V243" i="8"/>
  <c r="AA242" i="8"/>
  <c r="Z242" i="8"/>
  <c r="Y242" i="8"/>
  <c r="X242" i="8"/>
  <c r="AG242" i="8" s="1"/>
  <c r="W242" i="8"/>
  <c r="V242" i="8"/>
  <c r="AA241" i="8"/>
  <c r="Z241" i="8"/>
  <c r="Y241" i="8"/>
  <c r="X241" i="8"/>
  <c r="AG241" i="8" s="1"/>
  <c r="W241" i="8"/>
  <c r="V241" i="8"/>
  <c r="AA240" i="8"/>
  <c r="Z240" i="8"/>
  <c r="Y240" i="8"/>
  <c r="X240" i="8"/>
  <c r="AG240" i="8" s="1"/>
  <c r="W240" i="8"/>
  <c r="V240" i="8"/>
  <c r="AA238" i="8"/>
  <c r="Z238" i="8"/>
  <c r="Y238" i="8"/>
  <c r="X238" i="8"/>
  <c r="AG238" i="8" s="1"/>
  <c r="W238" i="8"/>
  <c r="V238" i="8"/>
  <c r="H238" i="8"/>
  <c r="AA236" i="8"/>
  <c r="Z236" i="8"/>
  <c r="Y236" i="8"/>
  <c r="X236" i="8"/>
  <c r="AG236" i="8" s="1"/>
  <c r="W236" i="8"/>
  <c r="V236" i="8"/>
  <c r="AA235" i="8"/>
  <c r="Z235" i="8"/>
  <c r="Y235" i="8"/>
  <c r="X235" i="8"/>
  <c r="AG235" i="8" s="1"/>
  <c r="W235" i="8"/>
  <c r="V235" i="8"/>
  <c r="AA234" i="8"/>
  <c r="Z234" i="8"/>
  <c r="Y234" i="8"/>
  <c r="X234" i="8"/>
  <c r="AG234" i="8" s="1"/>
  <c r="W234" i="8"/>
  <c r="V234" i="8"/>
  <c r="AA233" i="8"/>
  <c r="Z233" i="8"/>
  <c r="Y233" i="8"/>
  <c r="X233" i="8"/>
  <c r="AG233" i="8" s="1"/>
  <c r="W233" i="8"/>
  <c r="V233" i="8"/>
  <c r="AA231" i="8"/>
  <c r="Z231" i="8"/>
  <c r="Y231" i="8"/>
  <c r="X231" i="8"/>
  <c r="AG232" i="8" s="1"/>
  <c r="W231" i="8"/>
  <c r="V231" i="8"/>
  <c r="H231" i="8"/>
  <c r="AA229" i="8"/>
  <c r="Z229" i="8"/>
  <c r="Y229" i="8"/>
  <c r="X229" i="8"/>
  <c r="W229" i="8"/>
  <c r="V229" i="8"/>
  <c r="AA228" i="8"/>
  <c r="Z228" i="8"/>
  <c r="Y228" i="8"/>
  <c r="X228" i="8"/>
  <c r="AG228" i="8" s="1"/>
  <c r="W228" i="8"/>
  <c r="V228" i="8"/>
  <c r="AA227" i="8"/>
  <c r="Z227" i="8"/>
  <c r="Y227" i="8"/>
  <c r="X227" i="8"/>
  <c r="AG227" i="8" s="1"/>
  <c r="W227" i="8"/>
  <c r="V227" i="8"/>
  <c r="AA226" i="8"/>
  <c r="Z226" i="8"/>
  <c r="Y226" i="8"/>
  <c r="X226" i="8"/>
  <c r="AG226" i="8" s="1"/>
  <c r="W226" i="8"/>
  <c r="V226" i="8"/>
  <c r="AA224" i="8"/>
  <c r="Z224" i="8"/>
  <c r="Y224" i="8"/>
  <c r="X224" i="8"/>
  <c r="AG225" i="8" s="1"/>
  <c r="W224" i="8"/>
  <c r="V224" i="8"/>
  <c r="H224" i="8"/>
  <c r="AA222" i="8"/>
  <c r="Z222" i="8"/>
  <c r="Y222" i="8"/>
  <c r="X222" i="8"/>
  <c r="W222" i="8"/>
  <c r="V222" i="8"/>
  <c r="AA221" i="8"/>
  <c r="Z221" i="8"/>
  <c r="Y221" i="8"/>
  <c r="X221" i="8"/>
  <c r="AG221" i="8" s="1"/>
  <c r="L629" i="29" s="1"/>
  <c r="W221" i="8"/>
  <c r="V221" i="8"/>
  <c r="AA220" i="8"/>
  <c r="Z220" i="8"/>
  <c r="Y220" i="8"/>
  <c r="X220" i="8"/>
  <c r="AG220" i="8" s="1"/>
  <c r="L628" i="29" s="1"/>
  <c r="W220" i="8"/>
  <c r="V220" i="8"/>
  <c r="AA219" i="8"/>
  <c r="Z219" i="8"/>
  <c r="Y219" i="8"/>
  <c r="X219" i="8"/>
  <c r="AG219" i="8" s="1"/>
  <c r="L627" i="29" s="1"/>
  <c r="W219" i="8"/>
  <c r="V219" i="8"/>
  <c r="AA217" i="8"/>
  <c r="Z217" i="8"/>
  <c r="Y217" i="8"/>
  <c r="X217" i="8"/>
  <c r="AG218" i="8" s="1"/>
  <c r="L626" i="29" s="1"/>
  <c r="W217" i="8"/>
  <c r="V217" i="8"/>
  <c r="H217" i="8"/>
  <c r="AA215" i="8"/>
  <c r="Z215" i="8"/>
  <c r="Y215" i="8"/>
  <c r="X215" i="8"/>
  <c r="W215" i="8"/>
  <c r="V215" i="8"/>
  <c r="AA214" i="8"/>
  <c r="Z214" i="8"/>
  <c r="Y214" i="8"/>
  <c r="X214" i="8"/>
  <c r="AG214" i="8" s="1"/>
  <c r="W214" i="8"/>
  <c r="V214" i="8"/>
  <c r="AA213" i="8"/>
  <c r="Z213" i="8"/>
  <c r="Y213" i="8"/>
  <c r="X213" i="8"/>
  <c r="AG213" i="8" s="1"/>
  <c r="W213" i="8"/>
  <c r="V213" i="8"/>
  <c r="AA212" i="8"/>
  <c r="Z212" i="8"/>
  <c r="Y212" i="8"/>
  <c r="X212" i="8"/>
  <c r="AG212" i="8" s="1"/>
  <c r="W212" i="8"/>
  <c r="V212" i="8"/>
  <c r="AA210" i="8"/>
  <c r="Z210" i="8"/>
  <c r="Y210" i="8"/>
  <c r="X210" i="8"/>
  <c r="AG211" i="8" s="1"/>
  <c r="W210" i="8"/>
  <c r="V210" i="8"/>
  <c r="H210" i="8"/>
  <c r="AA208" i="8"/>
  <c r="Z208" i="8"/>
  <c r="Y208" i="8"/>
  <c r="X208" i="8"/>
  <c r="W208" i="8"/>
  <c r="V208" i="8"/>
  <c r="AA207" i="8"/>
  <c r="Z207" i="8"/>
  <c r="Y207" i="8"/>
  <c r="X207" i="8"/>
  <c r="AG207" i="8" s="1"/>
  <c r="W207" i="8"/>
  <c r="V207" i="8"/>
  <c r="AA206" i="8"/>
  <c r="Z206" i="8"/>
  <c r="Y206" i="8"/>
  <c r="X206" i="8"/>
  <c r="AG206" i="8" s="1"/>
  <c r="W206" i="8"/>
  <c r="V206" i="8"/>
  <c r="AA205" i="8"/>
  <c r="Z205" i="8"/>
  <c r="Y205" i="8"/>
  <c r="X205" i="8"/>
  <c r="AG205" i="8" s="1"/>
  <c r="W205" i="8"/>
  <c r="V205" i="8"/>
  <c r="AA203" i="8"/>
  <c r="Z203" i="8"/>
  <c r="Y203" i="8"/>
  <c r="X203" i="8"/>
  <c r="AG204" i="8" s="1"/>
  <c r="W203" i="8"/>
  <c r="V203" i="8"/>
  <c r="H203" i="8"/>
  <c r="AA201" i="8"/>
  <c r="Z201" i="8"/>
  <c r="Y201" i="8"/>
  <c r="X201" i="8"/>
  <c r="W201" i="8"/>
  <c r="V201" i="8"/>
  <c r="AA200" i="8"/>
  <c r="Z200" i="8"/>
  <c r="Y200" i="8"/>
  <c r="X200" i="8"/>
  <c r="AG200" i="8" s="1"/>
  <c r="W200" i="8"/>
  <c r="V200" i="8"/>
  <c r="AA199" i="8"/>
  <c r="Z199" i="8"/>
  <c r="Y199" i="8"/>
  <c r="X199" i="8"/>
  <c r="AG199" i="8" s="1"/>
  <c r="W199" i="8"/>
  <c r="V199" i="8"/>
  <c r="AA198" i="8"/>
  <c r="Z198" i="8"/>
  <c r="Y198" i="8"/>
  <c r="X198" i="8"/>
  <c r="AG198" i="8" s="1"/>
  <c r="W198" i="8"/>
  <c r="V198" i="8"/>
  <c r="AA196" i="8"/>
  <c r="Z196" i="8"/>
  <c r="Y196" i="8"/>
  <c r="X196" i="8"/>
  <c r="AG197" i="8" s="1"/>
  <c r="W196" i="8"/>
  <c r="V196" i="8"/>
  <c r="H196" i="8"/>
  <c r="AA194" i="8"/>
  <c r="Z194" i="8"/>
  <c r="Y194" i="8"/>
  <c r="X194" i="8"/>
  <c r="W194" i="8"/>
  <c r="V194" i="8"/>
  <c r="AA193" i="8"/>
  <c r="Z193" i="8"/>
  <c r="Y193" i="8"/>
  <c r="X193" i="8"/>
  <c r="AG193" i="8" s="1"/>
  <c r="W193" i="8"/>
  <c r="V193" i="8"/>
  <c r="AA192" i="8"/>
  <c r="Z192" i="8"/>
  <c r="Y192" i="8"/>
  <c r="X192" i="8"/>
  <c r="AG192" i="8" s="1"/>
  <c r="W192" i="8"/>
  <c r="V192" i="8"/>
  <c r="AA191" i="8"/>
  <c r="Z191" i="8"/>
  <c r="Y191" i="8"/>
  <c r="X191" i="8"/>
  <c r="AG191" i="8" s="1"/>
  <c r="W191" i="8"/>
  <c r="V191" i="8"/>
  <c r="AA189" i="8"/>
  <c r="Z189" i="8"/>
  <c r="Y189" i="8"/>
  <c r="X189" i="8"/>
  <c r="AG190" i="8" s="1"/>
  <c r="W189" i="8"/>
  <c r="V189" i="8"/>
  <c r="H189" i="8"/>
  <c r="AA187" i="8"/>
  <c r="Z187" i="8"/>
  <c r="Y187" i="8"/>
  <c r="X187" i="8"/>
  <c r="AG187" i="8" s="1"/>
  <c r="W187" i="8"/>
  <c r="V187" i="8"/>
  <c r="AA186" i="8"/>
  <c r="Z186" i="8"/>
  <c r="Y186" i="8"/>
  <c r="X186" i="8"/>
  <c r="AG186" i="8" s="1"/>
  <c r="W186" i="8"/>
  <c r="V186" i="8"/>
  <c r="AA185" i="8"/>
  <c r="Z185" i="8"/>
  <c r="Y185" i="8"/>
  <c r="X185" i="8"/>
  <c r="AG185" i="8" s="1"/>
  <c r="W185" i="8"/>
  <c r="V185" i="8"/>
  <c r="AA184" i="8"/>
  <c r="Z184" i="8"/>
  <c r="Y184" i="8"/>
  <c r="X184" i="8"/>
  <c r="AG184" i="8" s="1"/>
  <c r="W184" i="8"/>
  <c r="V184" i="8"/>
  <c r="AA182" i="8"/>
  <c r="Z182" i="8"/>
  <c r="Y182" i="8"/>
  <c r="X182" i="8"/>
  <c r="W182" i="8"/>
  <c r="V182" i="8"/>
  <c r="H182" i="8"/>
  <c r="AA180" i="8"/>
  <c r="Z180" i="8"/>
  <c r="Y180" i="8"/>
  <c r="X180" i="8"/>
  <c r="AG180" i="8" s="1"/>
  <c r="W180" i="8"/>
  <c r="V180" i="8"/>
  <c r="AA179" i="8"/>
  <c r="Z179" i="8"/>
  <c r="Y179" i="8"/>
  <c r="X179" i="8"/>
  <c r="AG179" i="8" s="1"/>
  <c r="W179" i="8"/>
  <c r="V179" i="8"/>
  <c r="AA178" i="8"/>
  <c r="Z178" i="8"/>
  <c r="Y178" i="8"/>
  <c r="X178" i="8"/>
  <c r="AG178" i="8" s="1"/>
  <c r="W178" i="8"/>
  <c r="V178" i="8"/>
  <c r="AA177" i="8"/>
  <c r="Z177" i="8"/>
  <c r="Y177" i="8"/>
  <c r="X177" i="8"/>
  <c r="AG177" i="8" s="1"/>
  <c r="W177" i="8"/>
  <c r="V177" i="8"/>
  <c r="AA175" i="8"/>
  <c r="Z175" i="8"/>
  <c r="Y175" i="8"/>
  <c r="X175" i="8"/>
  <c r="AG176" i="8" s="1"/>
  <c r="W175" i="8"/>
  <c r="V175" i="8"/>
  <c r="H175" i="8"/>
  <c r="AA173" i="8"/>
  <c r="Z173" i="8"/>
  <c r="Y173" i="8"/>
  <c r="X173" i="8"/>
  <c r="W173" i="8"/>
  <c r="V173" i="8"/>
  <c r="AA172" i="8"/>
  <c r="Z172" i="8"/>
  <c r="Y172" i="8"/>
  <c r="X172" i="8"/>
  <c r="AG172" i="8" s="1"/>
  <c r="W172" i="8"/>
  <c r="V172" i="8"/>
  <c r="AA171" i="8"/>
  <c r="Z171" i="8"/>
  <c r="Y171" i="8"/>
  <c r="X171" i="8"/>
  <c r="AG171" i="8" s="1"/>
  <c r="W171" i="8"/>
  <c r="V171" i="8"/>
  <c r="AA170" i="8"/>
  <c r="Z170" i="8"/>
  <c r="Y170" i="8"/>
  <c r="X170" i="8"/>
  <c r="AG170" i="8" s="1"/>
  <c r="W170" i="8"/>
  <c r="V170" i="8"/>
  <c r="AA168" i="8"/>
  <c r="Z168" i="8"/>
  <c r="Y168" i="8"/>
  <c r="X168" i="8"/>
  <c r="AG169" i="8" s="1"/>
  <c r="W168" i="8"/>
  <c r="V168" i="8"/>
  <c r="H168" i="8"/>
  <c r="AA166" i="8"/>
  <c r="Z166" i="8"/>
  <c r="Y166" i="8"/>
  <c r="X166" i="8"/>
  <c r="W166" i="8"/>
  <c r="V166" i="8"/>
  <c r="AA165" i="8"/>
  <c r="Z165" i="8"/>
  <c r="Y165" i="8"/>
  <c r="X165" i="8"/>
  <c r="AG165" i="8" s="1"/>
  <c r="W165" i="8"/>
  <c r="V165" i="8"/>
  <c r="AA164" i="8"/>
  <c r="Z164" i="8"/>
  <c r="Y164" i="8"/>
  <c r="X164" i="8"/>
  <c r="AG164" i="8" s="1"/>
  <c r="W164" i="8"/>
  <c r="V164" i="8"/>
  <c r="AA163" i="8"/>
  <c r="Z163" i="8"/>
  <c r="Y163" i="8"/>
  <c r="X163" i="8"/>
  <c r="AG163" i="8" s="1"/>
  <c r="W163" i="8"/>
  <c r="V163" i="8"/>
  <c r="AA161" i="8"/>
  <c r="Z161" i="8"/>
  <c r="Y161" i="8"/>
  <c r="X161" i="8"/>
  <c r="AG162" i="8" s="1"/>
  <c r="W161" i="8"/>
  <c r="V161" i="8"/>
  <c r="H161" i="8"/>
  <c r="AA159" i="8"/>
  <c r="Z159" i="8"/>
  <c r="Y159" i="8"/>
  <c r="X159" i="8"/>
  <c r="AG159" i="8" s="1"/>
  <c r="W159" i="8"/>
  <c r="V159" i="8"/>
  <c r="AA158" i="8"/>
  <c r="Z158" i="8"/>
  <c r="Y158" i="8"/>
  <c r="X158" i="8"/>
  <c r="AG158" i="8" s="1"/>
  <c r="W158" i="8"/>
  <c r="V158" i="8"/>
  <c r="AA157" i="8"/>
  <c r="Z157" i="8"/>
  <c r="Y157" i="8"/>
  <c r="X157" i="8"/>
  <c r="AG157" i="8" s="1"/>
  <c r="W157" i="8"/>
  <c r="V157" i="8"/>
  <c r="AA156" i="8"/>
  <c r="Z156" i="8"/>
  <c r="Y156" i="8"/>
  <c r="X156" i="8"/>
  <c r="AG156" i="8" s="1"/>
  <c r="W156" i="8"/>
  <c r="V156" i="8"/>
  <c r="AA154" i="8"/>
  <c r="Z154" i="8"/>
  <c r="Y154" i="8"/>
  <c r="X154" i="8"/>
  <c r="W154" i="8"/>
  <c r="V154" i="8"/>
  <c r="H154" i="8"/>
  <c r="AA152" i="8"/>
  <c r="Z152" i="8"/>
  <c r="Y152" i="8"/>
  <c r="X152" i="8"/>
  <c r="AG152" i="8" s="1"/>
  <c r="W152" i="8"/>
  <c r="V152" i="8"/>
  <c r="AA151" i="8"/>
  <c r="Z151" i="8"/>
  <c r="Y151" i="8"/>
  <c r="X151" i="8"/>
  <c r="AG151" i="8" s="1"/>
  <c r="W151" i="8"/>
  <c r="V151" i="8"/>
  <c r="AA150" i="8"/>
  <c r="Z150" i="8"/>
  <c r="Y150" i="8"/>
  <c r="X150" i="8"/>
  <c r="AG150" i="8" s="1"/>
  <c r="W150" i="8"/>
  <c r="V150" i="8"/>
  <c r="AA149" i="8"/>
  <c r="Z149" i="8"/>
  <c r="Y149" i="8"/>
  <c r="X149" i="8"/>
  <c r="AG149" i="8" s="1"/>
  <c r="W149" i="8"/>
  <c r="V149" i="8"/>
  <c r="AA147" i="8"/>
  <c r="Z147" i="8"/>
  <c r="Y147" i="8"/>
  <c r="X147" i="8"/>
  <c r="W147" i="8"/>
  <c r="V147" i="8"/>
  <c r="H147" i="8"/>
  <c r="AA145" i="8"/>
  <c r="Z145" i="8"/>
  <c r="Y145" i="8"/>
  <c r="X145" i="8"/>
  <c r="AG145" i="8" s="1"/>
  <c r="W145" i="8"/>
  <c r="V145" i="8"/>
  <c r="AA144" i="8"/>
  <c r="Z144" i="8"/>
  <c r="Y144" i="8"/>
  <c r="X144" i="8"/>
  <c r="AG144" i="8" s="1"/>
  <c r="W144" i="8"/>
  <c r="V144" i="8"/>
  <c r="AA143" i="8"/>
  <c r="Z143" i="8"/>
  <c r="Y143" i="8"/>
  <c r="X143" i="8"/>
  <c r="AG143" i="8" s="1"/>
  <c r="W143" i="8"/>
  <c r="V143" i="8"/>
  <c r="AA142" i="8"/>
  <c r="Z142" i="8"/>
  <c r="Y142" i="8"/>
  <c r="X142" i="8"/>
  <c r="AG142" i="8" s="1"/>
  <c r="W142" i="8"/>
  <c r="V142" i="8"/>
  <c r="AA140" i="8"/>
  <c r="Z140" i="8"/>
  <c r="Y140" i="8"/>
  <c r="X140" i="8"/>
  <c r="W140" i="8"/>
  <c r="V140" i="8"/>
  <c r="H140" i="8"/>
  <c r="AA138" i="8"/>
  <c r="Z138" i="8"/>
  <c r="Y138" i="8"/>
  <c r="X138" i="8"/>
  <c r="AG138" i="8" s="1"/>
  <c r="W138" i="8"/>
  <c r="V138" i="8"/>
  <c r="AA137" i="8"/>
  <c r="Z137" i="8"/>
  <c r="Y137" i="8"/>
  <c r="X137" i="8"/>
  <c r="AG137" i="8" s="1"/>
  <c r="W137" i="8"/>
  <c r="V137" i="8"/>
  <c r="AA136" i="8"/>
  <c r="Z136" i="8"/>
  <c r="Y136" i="8"/>
  <c r="X136" i="8"/>
  <c r="AG136" i="8" s="1"/>
  <c r="W136" i="8"/>
  <c r="V136" i="8"/>
  <c r="AA135" i="8"/>
  <c r="Z135" i="8"/>
  <c r="Y135" i="8"/>
  <c r="X135" i="8"/>
  <c r="AG135" i="8" s="1"/>
  <c r="W135" i="8"/>
  <c r="V135" i="8"/>
  <c r="AA133" i="8"/>
  <c r="Z133" i="8"/>
  <c r="Y133" i="8"/>
  <c r="X133" i="8"/>
  <c r="W133" i="8"/>
  <c r="V133" i="8"/>
  <c r="H133" i="8"/>
  <c r="J358" i="29"/>
  <c r="J870" i="29" s="1"/>
  <c r="J349" i="29"/>
  <c r="J860" i="29" s="1"/>
  <c r="J348" i="29"/>
  <c r="J859" i="29" s="1"/>
  <c r="J345" i="29"/>
  <c r="J856" i="29" s="1"/>
  <c r="J336" i="29"/>
  <c r="J847" i="29" s="1"/>
  <c r="J334" i="29"/>
  <c r="J845" i="29" s="1"/>
  <c r="J333" i="29"/>
  <c r="J844" i="29" s="1"/>
  <c r="J331" i="29"/>
  <c r="J842" i="29" s="1"/>
  <c r="J326" i="29"/>
  <c r="J837" i="29" s="1"/>
  <c r="J323" i="29"/>
  <c r="J834" i="29" s="1"/>
  <c r="J319" i="29"/>
  <c r="J830" i="29" s="1"/>
  <c r="H358" i="29"/>
  <c r="H870" i="29" s="1"/>
  <c r="H349" i="29"/>
  <c r="H860" i="29" s="1"/>
  <c r="H348" i="29"/>
  <c r="H859" i="29" s="1"/>
  <c r="H345" i="29"/>
  <c r="H856" i="29" s="1"/>
  <c r="H336" i="29"/>
  <c r="H847" i="29" s="1"/>
  <c r="H334" i="29"/>
  <c r="H845" i="29" s="1"/>
  <c r="H333" i="29"/>
  <c r="H844" i="29" s="1"/>
  <c r="H331" i="29"/>
  <c r="H842" i="29" s="1"/>
  <c r="H326" i="29"/>
  <c r="H837" i="29" s="1"/>
  <c r="H323" i="29"/>
  <c r="H834" i="29" s="1"/>
  <c r="H319" i="29"/>
  <c r="H830" i="29" s="1"/>
  <c r="G358" i="29"/>
  <c r="G870" i="29" s="1"/>
  <c r="F358" i="29"/>
  <c r="F870" i="29" s="1"/>
  <c r="G356" i="29"/>
  <c r="G868" i="29" s="1"/>
  <c r="F356" i="29"/>
  <c r="F868" i="29" s="1"/>
  <c r="G353" i="29"/>
  <c r="G865" i="29" s="1"/>
  <c r="F353" i="29"/>
  <c r="F865" i="29" s="1"/>
  <c r="G352" i="29"/>
  <c r="G864" i="29" s="1"/>
  <c r="F352" i="29"/>
  <c r="F864" i="29" s="1"/>
  <c r="G350" i="29"/>
  <c r="G862" i="29" s="1"/>
  <c r="F350" i="29"/>
  <c r="F862" i="29" s="1"/>
  <c r="G349" i="29"/>
  <c r="G860" i="29" s="1"/>
  <c r="G348" i="29"/>
  <c r="G859" i="29" s="1"/>
  <c r="F348" i="29"/>
  <c r="F859" i="29" s="1"/>
  <c r="G347" i="29"/>
  <c r="G858" i="29" s="1"/>
  <c r="F347" i="29"/>
  <c r="F858" i="29" s="1"/>
  <c r="G345" i="29"/>
  <c r="G856" i="29" s="1"/>
  <c r="F345" i="29"/>
  <c r="F856" i="29" s="1"/>
  <c r="G344" i="29"/>
  <c r="G855" i="29" s="1"/>
  <c r="F344" i="29"/>
  <c r="F855" i="29" s="1"/>
  <c r="G343" i="29"/>
  <c r="G854" i="29" s="1"/>
  <c r="F343" i="29"/>
  <c r="F854" i="29" s="1"/>
  <c r="G336" i="29"/>
  <c r="G847" i="29" s="1"/>
  <c r="G334" i="29"/>
  <c r="G845" i="29" s="1"/>
  <c r="F334" i="29"/>
  <c r="F845" i="29" s="1"/>
  <c r="G333" i="29"/>
  <c r="G844" i="29" s="1"/>
  <c r="F333" i="29"/>
  <c r="F844" i="29" s="1"/>
  <c r="G331" i="29"/>
  <c r="G842" i="29" s="1"/>
  <c r="F331" i="29"/>
  <c r="F842" i="29" s="1"/>
  <c r="G330" i="29"/>
  <c r="G841" i="29" s="1"/>
  <c r="F330" i="29"/>
  <c r="F841" i="29" s="1"/>
  <c r="G328" i="29"/>
  <c r="G839" i="29" s="1"/>
  <c r="F328" i="29"/>
  <c r="F839" i="29" s="1"/>
  <c r="G327" i="29"/>
  <c r="G838" i="29" s="1"/>
  <c r="F327" i="29"/>
  <c r="F838" i="29" s="1"/>
  <c r="G326" i="29"/>
  <c r="G837" i="29" s="1"/>
  <c r="F326" i="29"/>
  <c r="F837" i="29" s="1"/>
  <c r="G325" i="29"/>
  <c r="G836" i="29" s="1"/>
  <c r="G323" i="29"/>
  <c r="G834" i="29" s="1"/>
  <c r="F323" i="29"/>
  <c r="F834" i="29" s="1"/>
  <c r="G322" i="29"/>
  <c r="G833" i="29" s="1"/>
  <c r="F322" i="29"/>
  <c r="F833" i="29" s="1"/>
  <c r="G320" i="29"/>
  <c r="G831" i="29" s="1"/>
  <c r="F320" i="29"/>
  <c r="F831" i="29" s="1"/>
  <c r="G319" i="29"/>
  <c r="G830" i="29" s="1"/>
  <c r="G318" i="29"/>
  <c r="G829" i="29" s="1"/>
  <c r="F318" i="29"/>
  <c r="F829" i="29" s="1"/>
  <c r="K22" i="26"/>
  <c r="E44" i="29"/>
  <c r="D44" i="29"/>
  <c r="M348" i="29"/>
  <c r="M859" i="29" s="1"/>
  <c r="O348" i="29"/>
  <c r="O859" i="29" s="1"/>
  <c r="N348" i="29"/>
  <c r="N859" i="29" s="1"/>
  <c r="L859" i="29"/>
  <c r="N293" i="29"/>
  <c r="L293" i="29"/>
  <c r="E293" i="29"/>
  <c r="D293" i="29"/>
  <c r="N292" i="29"/>
  <c r="M292" i="29"/>
  <c r="L292" i="29"/>
  <c r="E292" i="29"/>
  <c r="D292" i="29"/>
  <c r="N291" i="29"/>
  <c r="L291" i="29"/>
  <c r="E291" i="29"/>
  <c r="D291" i="29"/>
  <c r="N290" i="29"/>
  <c r="L290" i="29"/>
  <c r="E290" i="29"/>
  <c r="D290" i="29"/>
  <c r="O289" i="29"/>
  <c r="N289" i="29"/>
  <c r="L289" i="29"/>
  <c r="E289" i="29"/>
  <c r="D289" i="29"/>
  <c r="N288" i="29"/>
  <c r="L288" i="29"/>
  <c r="E288" i="29"/>
  <c r="D288" i="29"/>
  <c r="N287" i="29"/>
  <c r="L287" i="29"/>
  <c r="E287" i="29"/>
  <c r="D287" i="29"/>
  <c r="N91" i="29"/>
  <c r="L91" i="29"/>
  <c r="E91" i="29"/>
  <c r="D91" i="29"/>
  <c r="N170" i="29"/>
  <c r="L170" i="29"/>
  <c r="E170" i="29"/>
  <c r="D170" i="29"/>
  <c r="N169" i="29"/>
  <c r="M169" i="29"/>
  <c r="L169" i="29"/>
  <c r="E169" i="29"/>
  <c r="D169" i="29"/>
  <c r="N168" i="29"/>
  <c r="L168" i="29"/>
  <c r="E168" i="29"/>
  <c r="D168" i="29"/>
  <c r="N167" i="29"/>
  <c r="L167" i="29"/>
  <c r="E167" i="29"/>
  <c r="D167" i="29"/>
  <c r="L166" i="29"/>
  <c r="N166" i="29"/>
  <c r="E166" i="29"/>
  <c r="D166" i="29"/>
  <c r="N160" i="29"/>
  <c r="L160" i="29"/>
  <c r="E160" i="29"/>
  <c r="D160" i="29"/>
  <c r="N159" i="29"/>
  <c r="L159" i="29"/>
  <c r="E159" i="29"/>
  <c r="D159" i="29"/>
  <c r="N158" i="29"/>
  <c r="L158" i="29"/>
  <c r="E158" i="29"/>
  <c r="D158" i="29"/>
  <c r="N157" i="29"/>
  <c r="M157" i="29"/>
  <c r="L157" i="29"/>
  <c r="E157" i="29"/>
  <c r="D157" i="29"/>
  <c r="N156" i="29"/>
  <c r="L156" i="29"/>
  <c r="E156" i="29"/>
  <c r="D156" i="29"/>
  <c r="N155" i="29"/>
  <c r="L155" i="29"/>
  <c r="E155" i="29"/>
  <c r="D155" i="29"/>
  <c r="N154" i="29"/>
  <c r="L154" i="29"/>
  <c r="E154" i="29"/>
  <c r="D154" i="29"/>
  <c r="N153" i="29"/>
  <c r="M153" i="29"/>
  <c r="L153" i="29"/>
  <c r="E153" i="29"/>
  <c r="D153" i="29"/>
  <c r="N152" i="29"/>
  <c r="L152" i="29"/>
  <c r="E152" i="29"/>
  <c r="D152" i="29"/>
  <c r="N151" i="29"/>
  <c r="L151" i="29"/>
  <c r="E151" i="29"/>
  <c r="D151" i="29"/>
  <c r="N150" i="29"/>
  <c r="L150" i="29"/>
  <c r="E150" i="29"/>
  <c r="D150" i="29"/>
  <c r="N149" i="29"/>
  <c r="M149" i="29"/>
  <c r="L149" i="29"/>
  <c r="E149" i="29"/>
  <c r="D149" i="29"/>
  <c r="N148" i="29"/>
  <c r="L148" i="29"/>
  <c r="E148" i="29"/>
  <c r="D148" i="29"/>
  <c r="N147" i="29"/>
  <c r="L147" i="29"/>
  <c r="E147" i="29"/>
  <c r="D147" i="29"/>
  <c r="N146" i="29"/>
  <c r="L146" i="29"/>
  <c r="E146" i="29"/>
  <c r="D146" i="29"/>
  <c r="N145" i="29"/>
  <c r="M145" i="29"/>
  <c r="L145" i="29"/>
  <c r="E145" i="29"/>
  <c r="D145" i="29"/>
  <c r="N144" i="29"/>
  <c r="L144" i="29"/>
  <c r="E144" i="29"/>
  <c r="D144" i="29"/>
  <c r="N286" i="29"/>
  <c r="L286" i="29"/>
  <c r="E286" i="29"/>
  <c r="D286" i="29"/>
  <c r="N285" i="29"/>
  <c r="L285" i="29"/>
  <c r="E285" i="29"/>
  <c r="D285" i="29"/>
  <c r="N284" i="29"/>
  <c r="L284" i="29"/>
  <c r="E284" i="29"/>
  <c r="D284" i="29"/>
  <c r="N283" i="29"/>
  <c r="L283" i="29"/>
  <c r="E283" i="29"/>
  <c r="D283" i="29"/>
  <c r="N282" i="29"/>
  <c r="L282" i="29"/>
  <c r="E282" i="29"/>
  <c r="D282" i="29"/>
  <c r="N281" i="29"/>
  <c r="L281" i="29"/>
  <c r="E281" i="29"/>
  <c r="D281" i="29"/>
  <c r="N280" i="29"/>
  <c r="L280" i="29"/>
  <c r="E280" i="29"/>
  <c r="D280" i="29"/>
  <c r="N279" i="29"/>
  <c r="L279" i="29"/>
  <c r="E279" i="29"/>
  <c r="D279" i="29"/>
  <c r="E278" i="29"/>
  <c r="D278" i="29"/>
  <c r="N277" i="29"/>
  <c r="L277" i="29"/>
  <c r="E277" i="29"/>
  <c r="D277" i="29"/>
  <c r="N276" i="29"/>
  <c r="L276" i="29"/>
  <c r="E276" i="29"/>
  <c r="D276" i="29"/>
  <c r="N275" i="29"/>
  <c r="L275" i="29"/>
  <c r="E275" i="29"/>
  <c r="D275" i="29"/>
  <c r="N274" i="29"/>
  <c r="L274" i="29"/>
  <c r="E274" i="29"/>
  <c r="D274" i="29"/>
  <c r="N273" i="29"/>
  <c r="L273" i="29"/>
  <c r="E273" i="29"/>
  <c r="D273" i="29"/>
  <c r="N272" i="29"/>
  <c r="L272" i="29"/>
  <c r="E272" i="29"/>
  <c r="D272" i="29"/>
  <c r="N271" i="29"/>
  <c r="L271" i="29"/>
  <c r="E271" i="29"/>
  <c r="D271" i="29"/>
  <c r="N270" i="29"/>
  <c r="L270" i="29"/>
  <c r="E270" i="29"/>
  <c r="D270" i="29"/>
  <c r="N269" i="29"/>
  <c r="L269" i="29"/>
  <c r="E269" i="29"/>
  <c r="D269" i="29"/>
  <c r="N268" i="29"/>
  <c r="L268" i="29"/>
  <c r="E268" i="29"/>
  <c r="D268" i="29"/>
  <c r="N267" i="29"/>
  <c r="L267" i="29"/>
  <c r="E267" i="29"/>
  <c r="D267" i="29"/>
  <c r="N266" i="29"/>
  <c r="L266" i="29"/>
  <c r="E266" i="29"/>
  <c r="D266" i="29"/>
  <c r="N265" i="29"/>
  <c r="L265" i="29"/>
  <c r="E265" i="29"/>
  <c r="D265" i="29"/>
  <c r="N264" i="29"/>
  <c r="L264" i="29"/>
  <c r="E264" i="29"/>
  <c r="D264" i="29"/>
  <c r="N263" i="29"/>
  <c r="L263" i="29"/>
  <c r="E263" i="29"/>
  <c r="D263" i="29"/>
  <c r="N262" i="29"/>
  <c r="L262" i="29"/>
  <c r="E262" i="29"/>
  <c r="D262" i="29"/>
  <c r="N261" i="29"/>
  <c r="L261" i="29"/>
  <c r="E261" i="29"/>
  <c r="D261" i="29"/>
  <c r="N260" i="29"/>
  <c r="L260" i="29"/>
  <c r="E260" i="29"/>
  <c r="D260" i="29"/>
  <c r="N259" i="29"/>
  <c r="L259" i="29"/>
  <c r="E259" i="29"/>
  <c r="D259" i="29"/>
  <c r="N258" i="29"/>
  <c r="L258" i="29"/>
  <c r="E258" i="29"/>
  <c r="D258" i="29"/>
  <c r="N257" i="29"/>
  <c r="L257" i="29"/>
  <c r="E257" i="29"/>
  <c r="D257" i="29"/>
  <c r="N256" i="29"/>
  <c r="L256" i="29"/>
  <c r="E256" i="29"/>
  <c r="D256" i="29"/>
  <c r="N255" i="29"/>
  <c r="L255" i="29"/>
  <c r="E255" i="29"/>
  <c r="D255" i="29"/>
  <c r="N254" i="29"/>
  <c r="L254" i="29"/>
  <c r="E254" i="29"/>
  <c r="D254" i="29"/>
  <c r="N253" i="29"/>
  <c r="L253" i="29"/>
  <c r="E253" i="29"/>
  <c r="D253" i="29"/>
  <c r="N252" i="29"/>
  <c r="L252" i="29"/>
  <c r="E252" i="29"/>
  <c r="D252" i="29"/>
  <c r="N251" i="29"/>
  <c r="L251" i="29"/>
  <c r="E251" i="29"/>
  <c r="D251" i="29"/>
  <c r="N250" i="29"/>
  <c r="L250" i="29"/>
  <c r="E250" i="29"/>
  <c r="D250" i="29"/>
  <c r="N249" i="29"/>
  <c r="L249" i="29"/>
  <c r="E249" i="29"/>
  <c r="D249" i="29"/>
  <c r="N248" i="29"/>
  <c r="L248" i="29"/>
  <c r="E248" i="29"/>
  <c r="D248" i="29"/>
  <c r="N245" i="29"/>
  <c r="L245" i="29"/>
  <c r="E245" i="29"/>
  <c r="D245" i="29"/>
  <c r="N244" i="29"/>
  <c r="L244" i="29"/>
  <c r="E244" i="29"/>
  <c r="D244" i="29"/>
  <c r="N243" i="29"/>
  <c r="L243" i="29"/>
  <c r="E243" i="29"/>
  <c r="D243" i="29"/>
  <c r="N247" i="29"/>
  <c r="L247" i="29"/>
  <c r="E247" i="29"/>
  <c r="D247" i="29"/>
  <c r="N246" i="29"/>
  <c r="L246" i="29"/>
  <c r="E246" i="29"/>
  <c r="D246" i="29"/>
  <c r="N242" i="29"/>
  <c r="L242" i="29"/>
  <c r="E242" i="29"/>
  <c r="D242" i="29"/>
  <c r="N241" i="29"/>
  <c r="L241" i="29"/>
  <c r="E241" i="29"/>
  <c r="D241" i="29"/>
  <c r="N240" i="29"/>
  <c r="L240" i="29"/>
  <c r="E240" i="29"/>
  <c r="D240" i="29"/>
  <c r="N239" i="29"/>
  <c r="L239" i="29"/>
  <c r="E239" i="29"/>
  <c r="D239" i="29"/>
  <c r="N238" i="29"/>
  <c r="L238" i="29"/>
  <c r="E238" i="29"/>
  <c r="D238" i="29"/>
  <c r="N237" i="29"/>
  <c r="L237" i="29"/>
  <c r="E237" i="29"/>
  <c r="D237" i="29"/>
  <c r="N236" i="29"/>
  <c r="L236" i="29"/>
  <c r="E236" i="29"/>
  <c r="D236" i="29"/>
  <c r="N235" i="29"/>
  <c r="L235" i="29"/>
  <c r="E235" i="29"/>
  <c r="D235" i="29"/>
  <c r="N234" i="29"/>
  <c r="L234" i="29"/>
  <c r="E234" i="29"/>
  <c r="D234" i="29"/>
  <c r="N233" i="29"/>
  <c r="M233" i="29"/>
  <c r="L233" i="29"/>
  <c r="E233" i="29"/>
  <c r="D233" i="29"/>
  <c r="N232" i="29"/>
  <c r="L232" i="29"/>
  <c r="E232" i="29"/>
  <c r="D232" i="29"/>
  <c r="N231" i="29"/>
  <c r="L231" i="29"/>
  <c r="E231" i="29"/>
  <c r="D231" i="29"/>
  <c r="N230" i="29"/>
  <c r="L230" i="29"/>
  <c r="E230" i="29"/>
  <c r="D230" i="29"/>
  <c r="N229" i="29"/>
  <c r="L229" i="29"/>
  <c r="E229" i="29"/>
  <c r="D229" i="29"/>
  <c r="N228" i="29"/>
  <c r="L228" i="29"/>
  <c r="E228" i="29"/>
  <c r="D228" i="29"/>
  <c r="N227" i="29"/>
  <c r="L227" i="29"/>
  <c r="E227" i="29"/>
  <c r="D227" i="29"/>
  <c r="N226" i="29"/>
  <c r="L226" i="29"/>
  <c r="E226" i="29"/>
  <c r="D226" i="29"/>
  <c r="N225" i="29"/>
  <c r="L225" i="29"/>
  <c r="E225" i="29"/>
  <c r="D225" i="29"/>
  <c r="N224" i="29"/>
  <c r="L224" i="29"/>
  <c r="E224" i="29"/>
  <c r="D224" i="29"/>
  <c r="N223" i="29"/>
  <c r="L223" i="29"/>
  <c r="E223" i="29"/>
  <c r="D223" i="29"/>
  <c r="N222" i="29"/>
  <c r="L222" i="29"/>
  <c r="E222" i="29"/>
  <c r="D222" i="29"/>
  <c r="N221" i="29"/>
  <c r="L221" i="29"/>
  <c r="E221" i="29"/>
  <c r="D221" i="29"/>
  <c r="N220" i="29"/>
  <c r="L220" i="29"/>
  <c r="E220" i="29"/>
  <c r="D220" i="29"/>
  <c r="N219" i="29"/>
  <c r="L219" i="29"/>
  <c r="E219" i="29"/>
  <c r="D219" i="29"/>
  <c r="N218" i="29"/>
  <c r="L218" i="29"/>
  <c r="E218" i="29"/>
  <c r="D218" i="29"/>
  <c r="N217" i="29"/>
  <c r="L217" i="29"/>
  <c r="E217" i="29"/>
  <c r="D217" i="29"/>
  <c r="N216" i="29"/>
  <c r="L216" i="29"/>
  <c r="E216" i="29"/>
  <c r="D216" i="29"/>
  <c r="N215" i="29"/>
  <c r="L215" i="29"/>
  <c r="E215" i="29"/>
  <c r="D215" i="29"/>
  <c r="N214" i="29"/>
  <c r="L214" i="29"/>
  <c r="E214" i="29"/>
  <c r="D214" i="29"/>
  <c r="N213" i="29"/>
  <c r="L213" i="29"/>
  <c r="E213" i="29"/>
  <c r="D213" i="29"/>
  <c r="N212" i="29"/>
  <c r="L212" i="29"/>
  <c r="E212" i="29"/>
  <c r="D212" i="29"/>
  <c r="N211" i="29"/>
  <c r="L211" i="29"/>
  <c r="E211" i="29"/>
  <c r="D211" i="29"/>
  <c r="N210" i="29"/>
  <c r="L210" i="29"/>
  <c r="E210" i="29"/>
  <c r="D210" i="29"/>
  <c r="N209" i="29"/>
  <c r="L209" i="29"/>
  <c r="E209" i="29"/>
  <c r="D209" i="29"/>
  <c r="E208" i="29"/>
  <c r="D208" i="29"/>
  <c r="N207" i="29"/>
  <c r="L207" i="29"/>
  <c r="E207" i="29"/>
  <c r="D207" i="29"/>
  <c r="N206" i="29"/>
  <c r="L206" i="29"/>
  <c r="E206" i="29"/>
  <c r="D206" i="29"/>
  <c r="N205" i="29"/>
  <c r="L205" i="29"/>
  <c r="E205" i="29"/>
  <c r="D205" i="29"/>
  <c r="N204" i="29"/>
  <c r="L204" i="29"/>
  <c r="E204" i="29"/>
  <c r="D204" i="29"/>
  <c r="N203" i="29"/>
  <c r="L203" i="29"/>
  <c r="E203" i="29"/>
  <c r="D203" i="29"/>
  <c r="N202" i="29"/>
  <c r="L202" i="29"/>
  <c r="E202" i="29"/>
  <c r="D202" i="29"/>
  <c r="N201" i="29"/>
  <c r="L201" i="29"/>
  <c r="E201" i="29"/>
  <c r="D201" i="29"/>
  <c r="N200" i="29"/>
  <c r="L200" i="29"/>
  <c r="E200" i="29"/>
  <c r="D200" i="29"/>
  <c r="N199" i="29"/>
  <c r="L199" i="29"/>
  <c r="E199" i="29"/>
  <c r="D199" i="29"/>
  <c r="N198" i="29"/>
  <c r="L198" i="29"/>
  <c r="E198" i="29"/>
  <c r="D198" i="29"/>
  <c r="N197" i="29"/>
  <c r="L197" i="29"/>
  <c r="E197" i="29"/>
  <c r="D197" i="29"/>
  <c r="N196" i="29"/>
  <c r="L196" i="29"/>
  <c r="E196" i="29"/>
  <c r="D196" i="29"/>
  <c r="N195" i="29"/>
  <c r="L195" i="29"/>
  <c r="E195" i="29"/>
  <c r="D195" i="29"/>
  <c r="N194" i="29"/>
  <c r="L194" i="29"/>
  <c r="E194" i="29"/>
  <c r="D194" i="29"/>
  <c r="N193" i="29"/>
  <c r="L193" i="29"/>
  <c r="E193" i="29"/>
  <c r="D193" i="29"/>
  <c r="N192" i="29"/>
  <c r="L192" i="29"/>
  <c r="E192" i="29"/>
  <c r="D192" i="29"/>
  <c r="N191" i="29"/>
  <c r="L191" i="29"/>
  <c r="E191" i="29"/>
  <c r="D191" i="29"/>
  <c r="N190" i="29"/>
  <c r="L190" i="29"/>
  <c r="E190" i="29"/>
  <c r="D190" i="29"/>
  <c r="N189" i="29"/>
  <c r="L189" i="29"/>
  <c r="E189" i="29"/>
  <c r="D189" i="29"/>
  <c r="N188" i="29"/>
  <c r="L188" i="29"/>
  <c r="E188" i="29"/>
  <c r="D188" i="29"/>
  <c r="N187" i="29"/>
  <c r="N326" i="29" s="1"/>
  <c r="N837" i="29" s="1"/>
  <c r="L187" i="29"/>
  <c r="L326" i="29" s="1"/>
  <c r="L837" i="29" s="1"/>
  <c r="E187" i="29"/>
  <c r="D187" i="29"/>
  <c r="N186" i="29"/>
  <c r="L186" i="29"/>
  <c r="E186" i="29"/>
  <c r="D186" i="29"/>
  <c r="N185" i="29"/>
  <c r="L185" i="29"/>
  <c r="E185" i="29"/>
  <c r="D185" i="29"/>
  <c r="N184" i="29"/>
  <c r="L184" i="29"/>
  <c r="E184" i="29"/>
  <c r="D184" i="29"/>
  <c r="N183" i="29"/>
  <c r="L183" i="29"/>
  <c r="E183" i="29"/>
  <c r="D183" i="29"/>
  <c r="N182" i="29"/>
  <c r="L182" i="29"/>
  <c r="E182" i="29"/>
  <c r="D182" i="29"/>
  <c r="N181" i="29"/>
  <c r="L181" i="29"/>
  <c r="E181" i="29"/>
  <c r="D181" i="29"/>
  <c r="N180" i="29"/>
  <c r="L180" i="29"/>
  <c r="E180" i="29"/>
  <c r="D180" i="29"/>
  <c r="N179" i="29"/>
  <c r="L179" i="29"/>
  <c r="E179" i="29"/>
  <c r="D179" i="29"/>
  <c r="N178" i="29"/>
  <c r="L178" i="29"/>
  <c r="E178" i="29"/>
  <c r="D178" i="29"/>
  <c r="N177" i="29"/>
  <c r="L177" i="29"/>
  <c r="E177" i="29"/>
  <c r="D177" i="29"/>
  <c r="N176" i="29"/>
  <c r="L176" i="29"/>
  <c r="E176" i="29"/>
  <c r="D176" i="29"/>
  <c r="N175" i="29"/>
  <c r="L175" i="29"/>
  <c r="E175" i="29"/>
  <c r="D175" i="29"/>
  <c r="N174" i="29"/>
  <c r="L174" i="29"/>
  <c r="E174" i="29"/>
  <c r="D174" i="29"/>
  <c r="N173" i="29"/>
  <c r="L173" i="29"/>
  <c r="E173" i="29"/>
  <c r="D173" i="29"/>
  <c r="N172" i="29"/>
  <c r="L172" i="29"/>
  <c r="E172" i="29"/>
  <c r="D172" i="29"/>
  <c r="N171" i="29"/>
  <c r="L171" i="29"/>
  <c r="E171" i="29"/>
  <c r="D171" i="29"/>
  <c r="N143" i="29"/>
  <c r="L143" i="29"/>
  <c r="E143" i="29"/>
  <c r="D143" i="29"/>
  <c r="N142" i="29"/>
  <c r="L142" i="29"/>
  <c r="E142" i="29"/>
  <c r="D142" i="29"/>
  <c r="N141" i="29"/>
  <c r="L141" i="29"/>
  <c r="E141" i="29"/>
  <c r="D141" i="29"/>
  <c r="N140" i="29"/>
  <c r="L140" i="29"/>
  <c r="E140" i="29"/>
  <c r="D140" i="29"/>
  <c r="N139" i="29"/>
  <c r="L139" i="29"/>
  <c r="E139" i="29"/>
  <c r="D139" i="29"/>
  <c r="N138" i="29"/>
  <c r="L138" i="29"/>
  <c r="E138" i="29"/>
  <c r="D138" i="29"/>
  <c r="N137" i="29"/>
  <c r="L137" i="29"/>
  <c r="E137" i="29"/>
  <c r="D137" i="29"/>
  <c r="N136" i="29"/>
  <c r="L136" i="29"/>
  <c r="E136" i="29"/>
  <c r="D136" i="29"/>
  <c r="N135" i="29"/>
  <c r="L135" i="29"/>
  <c r="E135" i="29"/>
  <c r="D135" i="29"/>
  <c r="N134" i="29"/>
  <c r="L134" i="29"/>
  <c r="E134" i="29"/>
  <c r="D134" i="29"/>
  <c r="N133" i="29"/>
  <c r="L133" i="29"/>
  <c r="E133" i="29"/>
  <c r="D133" i="29"/>
  <c r="N132" i="29"/>
  <c r="L132" i="29"/>
  <c r="E132" i="29"/>
  <c r="D132" i="29"/>
  <c r="N131" i="29"/>
  <c r="L131" i="29"/>
  <c r="E131" i="29"/>
  <c r="D131" i="29"/>
  <c r="N130" i="29"/>
  <c r="L130" i="29"/>
  <c r="E130" i="29"/>
  <c r="D130" i="29"/>
  <c r="N129" i="29"/>
  <c r="L129" i="29"/>
  <c r="E129" i="29"/>
  <c r="D129" i="29"/>
  <c r="N128" i="29"/>
  <c r="L128" i="29"/>
  <c r="E128" i="29"/>
  <c r="D128" i="29"/>
  <c r="N126" i="29"/>
  <c r="L126" i="29"/>
  <c r="E126" i="29"/>
  <c r="D126" i="29"/>
  <c r="N125" i="29"/>
  <c r="L125" i="29"/>
  <c r="E125" i="29"/>
  <c r="D125" i="29"/>
  <c r="N124" i="29"/>
  <c r="L124" i="29"/>
  <c r="E124" i="29"/>
  <c r="D124" i="29"/>
  <c r="N122" i="29"/>
  <c r="L122" i="29"/>
  <c r="E122" i="29"/>
  <c r="D122" i="29"/>
  <c r="N121" i="29"/>
  <c r="L121" i="29"/>
  <c r="E121" i="29"/>
  <c r="D121" i="29"/>
  <c r="N120" i="29"/>
  <c r="L120" i="29"/>
  <c r="E120" i="29"/>
  <c r="D120" i="29"/>
  <c r="N119" i="29"/>
  <c r="L119" i="29"/>
  <c r="E119" i="29"/>
  <c r="D119" i="29"/>
  <c r="N118" i="29"/>
  <c r="L118" i="29"/>
  <c r="E118" i="29"/>
  <c r="D118" i="29"/>
  <c r="N117" i="29"/>
  <c r="L117" i="29"/>
  <c r="E117" i="29"/>
  <c r="D117" i="29"/>
  <c r="N116" i="29"/>
  <c r="L116" i="29"/>
  <c r="E116" i="29"/>
  <c r="D116" i="29"/>
  <c r="N115" i="29"/>
  <c r="L115" i="29"/>
  <c r="E115" i="29"/>
  <c r="D115" i="29"/>
  <c r="N114" i="29"/>
  <c r="L114" i="29"/>
  <c r="E114" i="29"/>
  <c r="D114" i="29"/>
  <c r="N113" i="29"/>
  <c r="L113" i="29"/>
  <c r="E113" i="29"/>
  <c r="D113" i="29"/>
  <c r="N112" i="29"/>
  <c r="L112" i="29"/>
  <c r="E112" i="29"/>
  <c r="D112" i="29"/>
  <c r="N111" i="29"/>
  <c r="L111" i="29"/>
  <c r="E111" i="29"/>
  <c r="D111" i="29"/>
  <c r="N110" i="29"/>
  <c r="L110" i="29"/>
  <c r="E110" i="29"/>
  <c r="D110" i="29"/>
  <c r="N109" i="29"/>
  <c r="L109" i="29"/>
  <c r="E109" i="29"/>
  <c r="D109" i="29"/>
  <c r="N108" i="29"/>
  <c r="L108" i="29"/>
  <c r="E108" i="29"/>
  <c r="D108" i="29"/>
  <c r="N107" i="29"/>
  <c r="L107" i="29"/>
  <c r="E107" i="29"/>
  <c r="D107" i="29"/>
  <c r="N106" i="29"/>
  <c r="L106" i="29"/>
  <c r="E106" i="29"/>
  <c r="D106" i="29"/>
  <c r="N105" i="29"/>
  <c r="L105" i="29"/>
  <c r="E105" i="29"/>
  <c r="D105" i="29"/>
  <c r="N104" i="29"/>
  <c r="L104" i="29"/>
  <c r="E104" i="29"/>
  <c r="D104" i="29"/>
  <c r="N103" i="29"/>
  <c r="L103" i="29"/>
  <c r="E103" i="29"/>
  <c r="D103" i="29"/>
  <c r="N102" i="29"/>
  <c r="L102" i="29"/>
  <c r="E102" i="29"/>
  <c r="D102" i="29"/>
  <c r="N101" i="29"/>
  <c r="L101" i="29"/>
  <c r="E101" i="29"/>
  <c r="D101" i="29"/>
  <c r="N100" i="29"/>
  <c r="L100" i="29"/>
  <c r="E100" i="29"/>
  <c r="D100" i="29"/>
  <c r="N99" i="29"/>
  <c r="N323" i="29" s="1"/>
  <c r="N834" i="29" s="1"/>
  <c r="L99" i="29"/>
  <c r="E99" i="29"/>
  <c r="D99" i="29"/>
  <c r="N98" i="29"/>
  <c r="L98" i="29"/>
  <c r="E98" i="29"/>
  <c r="D98" i="29"/>
  <c r="N97" i="29"/>
  <c r="L97" i="29"/>
  <c r="E97" i="29"/>
  <c r="D97" i="29"/>
  <c r="N96" i="29"/>
  <c r="L96" i="29"/>
  <c r="E96" i="29"/>
  <c r="D96" i="29"/>
  <c r="N95" i="29"/>
  <c r="L95" i="29"/>
  <c r="E95" i="29"/>
  <c r="D95" i="29"/>
  <c r="N94" i="29"/>
  <c r="L94" i="29"/>
  <c r="E94" i="29"/>
  <c r="D94" i="29"/>
  <c r="N93" i="29"/>
  <c r="L93" i="29"/>
  <c r="E93" i="29"/>
  <c r="D93" i="29"/>
  <c r="E92" i="29"/>
  <c r="D92" i="29"/>
  <c r="N92" i="29"/>
  <c r="L92" i="29"/>
  <c r="E306" i="29"/>
  <c r="D306" i="29"/>
  <c r="E305" i="29"/>
  <c r="D305" i="29"/>
  <c r="E304" i="29"/>
  <c r="D304" i="29"/>
  <c r="E86" i="29"/>
  <c r="D86" i="29" a="1"/>
  <c r="D86" i="29" s="1"/>
  <c r="E60" i="29"/>
  <c r="D60" i="29"/>
  <c r="E59" i="29"/>
  <c r="D59" i="29"/>
  <c r="E58" i="29"/>
  <c r="D58" i="29"/>
  <c r="E90" i="29"/>
  <c r="D90" i="29"/>
  <c r="E89" i="29"/>
  <c r="D89" i="29"/>
  <c r="E88" i="29"/>
  <c r="D88" i="29"/>
  <c r="E87" i="29"/>
  <c r="D87" i="29"/>
  <c r="E85" i="29"/>
  <c r="D85" i="29"/>
  <c r="E84" i="29"/>
  <c r="D84" i="29"/>
  <c r="E74" i="29"/>
  <c r="D74" i="29"/>
  <c r="E73" i="29"/>
  <c r="D73" i="29"/>
  <c r="E62" i="29"/>
  <c r="D62" i="29"/>
  <c r="E61" i="29"/>
  <c r="D61" i="29"/>
  <c r="E57" i="29"/>
  <c r="D57" i="29"/>
  <c r="E56" i="29"/>
  <c r="D56" i="29"/>
  <c r="E55" i="29"/>
  <c r="D55" i="29"/>
  <c r="E45" i="29"/>
  <c r="D45" i="29"/>
  <c r="E43" i="29"/>
  <c r="D43" i="29"/>
  <c r="E83" i="29"/>
  <c r="D83" i="29"/>
  <c r="E82" i="29"/>
  <c r="D82" i="29"/>
  <c r="E72" i="29"/>
  <c r="D72" i="29"/>
  <c r="E71" i="29"/>
  <c r="D71" i="29"/>
  <c r="E54" i="29"/>
  <c r="D54" i="29"/>
  <c r="E53" i="29"/>
  <c r="D53" i="29"/>
  <c r="E42" i="29"/>
  <c r="D42" i="29"/>
  <c r="E41" i="29"/>
  <c r="D41" i="29"/>
  <c r="E81" i="29"/>
  <c r="D81" i="29"/>
  <c r="E80" i="29"/>
  <c r="D80" i="29"/>
  <c r="E79" i="29"/>
  <c r="D79" i="29"/>
  <c r="E78" i="29"/>
  <c r="D78" i="29"/>
  <c r="E77" i="29"/>
  <c r="D77" i="29"/>
  <c r="E76" i="29"/>
  <c r="D76" i="29"/>
  <c r="E75" i="29"/>
  <c r="D75" i="29"/>
  <c r="E70" i="29"/>
  <c r="D70" i="29"/>
  <c r="E69" i="29"/>
  <c r="D69" i="29"/>
  <c r="E68" i="29"/>
  <c r="D68" i="29"/>
  <c r="E67" i="29"/>
  <c r="D67" i="29"/>
  <c r="E66" i="29"/>
  <c r="D66" i="29"/>
  <c r="E65" i="29"/>
  <c r="D65" i="29"/>
  <c r="E64" i="29"/>
  <c r="D64" i="29"/>
  <c r="E63" i="29"/>
  <c r="D63" i="29"/>
  <c r="E52" i="29"/>
  <c r="D52" i="29"/>
  <c r="E51" i="29"/>
  <c r="D51" i="29"/>
  <c r="E50" i="29"/>
  <c r="D50" i="29"/>
  <c r="E49" i="29"/>
  <c r="D49" i="29"/>
  <c r="E48" i="29"/>
  <c r="D48" i="29"/>
  <c r="E47" i="29"/>
  <c r="D47" i="29"/>
  <c r="E46" i="29"/>
  <c r="D46" i="29"/>
  <c r="E40" i="29"/>
  <c r="D40" i="29"/>
  <c r="E39" i="29"/>
  <c r="D39" i="29"/>
  <c r="E38" i="29"/>
  <c r="D38" i="29"/>
  <c r="E37" i="29"/>
  <c r="D37" i="29"/>
  <c r="E36" i="29"/>
  <c r="D36" i="29"/>
  <c r="E35" i="29"/>
  <c r="D35" i="29"/>
  <c r="E34" i="29"/>
  <c r="D34" i="29"/>
  <c r="E303" i="29"/>
  <c r="D303" i="29"/>
  <c r="E302" i="29"/>
  <c r="D302" i="29"/>
  <c r="E33" i="29"/>
  <c r="D33" i="29"/>
  <c r="E32" i="29"/>
  <c r="D32" i="29"/>
  <c r="E31" i="29"/>
  <c r="D31" i="29"/>
  <c r="E30" i="29"/>
  <c r="D30" i="29"/>
  <c r="E29" i="29"/>
  <c r="D29" i="29"/>
  <c r="E28" i="29"/>
  <c r="D28" i="29"/>
  <c r="E27" i="29"/>
  <c r="D27" i="29"/>
  <c r="E26" i="29"/>
  <c r="D26" i="29"/>
  <c r="E25" i="29"/>
  <c r="D25" i="29"/>
  <c r="E24" i="29"/>
  <c r="D24" i="29"/>
  <c r="E23" i="29"/>
  <c r="D23" i="29"/>
  <c r="E22" i="29"/>
  <c r="D22" i="29"/>
  <c r="E21" i="29"/>
  <c r="D21" i="29"/>
  <c r="E20" i="29"/>
  <c r="D20" i="29"/>
  <c r="E19" i="29"/>
  <c r="D19" i="29"/>
  <c r="E18" i="29"/>
  <c r="D18" i="29"/>
  <c r="E17" i="29"/>
  <c r="D17" i="29"/>
  <c r="E16" i="29"/>
  <c r="D16" i="29"/>
  <c r="E15" i="29"/>
  <c r="D15" i="29"/>
  <c r="E14" i="29"/>
  <c r="D14" i="29"/>
  <c r="E13" i="29"/>
  <c r="D13" i="29"/>
  <c r="E12" i="29"/>
  <c r="D12" i="29"/>
  <c r="E11" i="29"/>
  <c r="D11" i="29"/>
  <c r="E10" i="29"/>
  <c r="D10" i="29"/>
  <c r="E9" i="29"/>
  <c r="D9" i="29"/>
  <c r="E8" i="29"/>
  <c r="D8" i="29"/>
  <c r="E7" i="29"/>
  <c r="D7" i="29"/>
  <c r="E6" i="29"/>
  <c r="D6" i="29"/>
  <c r="E5" i="29"/>
  <c r="D5" i="29"/>
  <c r="J22" i="26"/>
  <c r="M293" i="29" s="1"/>
  <c r="J21" i="26"/>
  <c r="J20" i="26"/>
  <c r="M291" i="29" s="1"/>
  <c r="K30" i="25"/>
  <c r="J30" i="25"/>
  <c r="O290" i="29" s="1"/>
  <c r="J29" i="25"/>
  <c r="J28" i="25"/>
  <c r="O288" i="29" s="1"/>
  <c r="J27" i="25"/>
  <c r="L30" i="25" s="1"/>
  <c r="K19" i="15"/>
  <c r="J19" i="15"/>
  <c r="L19" i="15" s="1"/>
  <c r="K42" i="16"/>
  <c r="J42" i="16"/>
  <c r="M170" i="29" s="1"/>
  <c r="J41" i="16"/>
  <c r="J40" i="16"/>
  <c r="M168" i="29" s="1"/>
  <c r="J39" i="16"/>
  <c r="M167" i="29" s="1"/>
  <c r="J38" i="16"/>
  <c r="M166" i="29" s="1"/>
  <c r="K36" i="16"/>
  <c r="J36" i="16"/>
  <c r="M160" i="29" s="1"/>
  <c r="J35" i="16"/>
  <c r="M159" i="29" s="1"/>
  <c r="J34" i="16"/>
  <c r="M158" i="29" s="1"/>
  <c r="J33" i="16"/>
  <c r="J32" i="16"/>
  <c r="M156" i="29" s="1"/>
  <c r="J31" i="16"/>
  <c r="M155" i="29" s="1"/>
  <c r="J30" i="16"/>
  <c r="M154" i="29" s="1"/>
  <c r="J29" i="16"/>
  <c r="J28" i="16"/>
  <c r="M152" i="29" s="1"/>
  <c r="J27" i="16"/>
  <c r="M151" i="29" s="1"/>
  <c r="J26" i="16"/>
  <c r="M150" i="29" s="1"/>
  <c r="J25" i="16"/>
  <c r="J24" i="16"/>
  <c r="M148" i="29" s="1"/>
  <c r="J23" i="16"/>
  <c r="M147" i="29" s="1"/>
  <c r="J22" i="16"/>
  <c r="M146" i="29" s="1"/>
  <c r="J21" i="16"/>
  <c r="J20" i="16"/>
  <c r="M144" i="29" s="1"/>
  <c r="K135" i="18"/>
  <c r="J135" i="18"/>
  <c r="K134" i="18"/>
  <c r="J134" i="18"/>
  <c r="L134" i="18" s="1"/>
  <c r="K133" i="18"/>
  <c r="J133" i="18"/>
  <c r="M284" i="29" s="1"/>
  <c r="J132" i="18"/>
  <c r="K131" i="18"/>
  <c r="J131" i="18"/>
  <c r="M282" i="29" s="1"/>
  <c r="J130" i="18"/>
  <c r="M281" i="29" s="1"/>
  <c r="J129" i="18"/>
  <c r="K128" i="18"/>
  <c r="J128" i="18"/>
  <c r="L128" i="18" s="1"/>
  <c r="K127" i="18"/>
  <c r="J127" i="18"/>
  <c r="K126" i="18"/>
  <c r="J126" i="18"/>
  <c r="L126" i="18" s="1"/>
  <c r="K125" i="18"/>
  <c r="J125" i="18"/>
  <c r="J124" i="18"/>
  <c r="M275" i="29" s="1"/>
  <c r="K123" i="18"/>
  <c r="J123" i="18"/>
  <c r="K122" i="18"/>
  <c r="J122" i="18"/>
  <c r="L122" i="18" s="1"/>
  <c r="K121" i="18"/>
  <c r="J121" i="18"/>
  <c r="K120" i="18"/>
  <c r="J120" i="18"/>
  <c r="M271" i="29" s="1"/>
  <c r="J119" i="18"/>
  <c r="M270" i="29" s="1"/>
  <c r="J118" i="18"/>
  <c r="L120" i="18" s="1"/>
  <c r="K117" i="18"/>
  <c r="J117" i="18"/>
  <c r="M268" i="29" s="1"/>
  <c r="J116" i="18"/>
  <c r="M267" i="29" s="1"/>
  <c r="K115" i="18"/>
  <c r="J115" i="18"/>
  <c r="M266" i="29" s="1"/>
  <c r="J114" i="18"/>
  <c r="L115" i="18" s="1"/>
  <c r="K113" i="18"/>
  <c r="J113" i="18"/>
  <c r="K112" i="18"/>
  <c r="J112" i="18"/>
  <c r="L112" i="18" s="1"/>
  <c r="K111" i="18"/>
  <c r="J111" i="18"/>
  <c r="K110" i="18"/>
  <c r="J110" i="18"/>
  <c r="L110" i="18" s="1"/>
  <c r="K109" i="18"/>
  <c r="J109" i="18"/>
  <c r="M260" i="29" s="1"/>
  <c r="J108" i="18"/>
  <c r="M259" i="29" s="1"/>
  <c r="K107" i="18"/>
  <c r="J107" i="18"/>
  <c r="M258" i="29" s="1"/>
  <c r="J106" i="18"/>
  <c r="M257" i="29" s="1"/>
  <c r="K105" i="18"/>
  <c r="J105" i="18"/>
  <c r="L104" i="18"/>
  <c r="K104" i="18"/>
  <c r="J104" i="18"/>
  <c r="M255" i="29" s="1"/>
  <c r="K103" i="18"/>
  <c r="J103" i="18"/>
  <c r="M254" i="29" s="1"/>
  <c r="J102" i="18"/>
  <c r="K101" i="18"/>
  <c r="J101" i="18"/>
  <c r="M252" i="29" s="1"/>
  <c r="J100" i="18"/>
  <c r="M251" i="29" s="1"/>
  <c r="K99" i="18"/>
  <c r="J99" i="18"/>
  <c r="M250" i="29" s="1"/>
  <c r="J98" i="18"/>
  <c r="M249" i="29" s="1"/>
  <c r="J97" i="18"/>
  <c r="M248" i="29" s="1"/>
  <c r="K96" i="18"/>
  <c r="J96" i="18"/>
  <c r="M247" i="29" s="1"/>
  <c r="J95" i="18"/>
  <c r="K94" i="18"/>
  <c r="J94" i="18"/>
  <c r="M245" i="29" s="1"/>
  <c r="J93" i="18"/>
  <c r="M244" i="29" s="1"/>
  <c r="J92" i="18"/>
  <c r="M243" i="29" s="1"/>
  <c r="K91" i="18"/>
  <c r="J91" i="18"/>
  <c r="M242" i="29" s="1"/>
  <c r="J90" i="18"/>
  <c r="M241" i="29" s="1"/>
  <c r="K89" i="18"/>
  <c r="J89" i="18"/>
  <c r="K88" i="18"/>
  <c r="J88" i="18"/>
  <c r="M239" i="29" s="1"/>
  <c r="J87" i="18"/>
  <c r="K86" i="18"/>
  <c r="J86" i="18"/>
  <c r="M237" i="29" s="1"/>
  <c r="J85" i="18"/>
  <c r="K84" i="18"/>
  <c r="J84" i="18"/>
  <c r="M235" i="29" s="1"/>
  <c r="J83" i="18"/>
  <c r="M234" i="29" s="1"/>
  <c r="K82" i="18"/>
  <c r="L82" i="18"/>
  <c r="K81" i="18"/>
  <c r="J81" i="18"/>
  <c r="K80" i="18"/>
  <c r="J80" i="18"/>
  <c r="M231" i="29" s="1"/>
  <c r="J79" i="18"/>
  <c r="M230" i="29" s="1"/>
  <c r="K78" i="18"/>
  <c r="J78" i="18"/>
  <c r="L78" i="18" s="1"/>
  <c r="K77" i="18"/>
  <c r="J77" i="18"/>
  <c r="M228" i="29" s="1"/>
  <c r="J76" i="18"/>
  <c r="M227" i="29" s="1"/>
  <c r="J75" i="18"/>
  <c r="M226" i="29" s="1"/>
  <c r="J74" i="18"/>
  <c r="M225" i="29" s="1"/>
  <c r="K73" i="18"/>
  <c r="J73" i="18"/>
  <c r="M224" i="29" s="1"/>
  <c r="J72" i="18"/>
  <c r="M223" i="29" s="1"/>
  <c r="J71" i="18"/>
  <c r="M222" i="29" s="1"/>
  <c r="J70" i="18"/>
  <c r="M221" i="29" s="1"/>
  <c r="K69" i="18"/>
  <c r="J69" i="18"/>
  <c r="M220" i="29" s="1"/>
  <c r="J68" i="18"/>
  <c r="M219" i="29" s="1"/>
  <c r="J67" i="18"/>
  <c r="M218" i="29" s="1"/>
  <c r="J66" i="18"/>
  <c r="M217" i="29" s="1"/>
  <c r="K65" i="18"/>
  <c r="J65" i="18"/>
  <c r="M216" i="29" s="1"/>
  <c r="J64" i="18"/>
  <c r="K63" i="18"/>
  <c r="J63" i="18"/>
  <c r="M214" i="29" s="1"/>
  <c r="J62" i="18"/>
  <c r="M213" i="29" s="1"/>
  <c r="J61" i="18"/>
  <c r="M212" i="29" s="1"/>
  <c r="J60" i="18"/>
  <c r="M211" i="29" s="1"/>
  <c r="K59" i="18"/>
  <c r="J59" i="18"/>
  <c r="K58" i="18"/>
  <c r="J58" i="18"/>
  <c r="M209" i="29" s="1"/>
  <c r="J57" i="18"/>
  <c r="M208" i="29" s="1"/>
  <c r="J56" i="18"/>
  <c r="M207" i="29" s="1"/>
  <c r="J55" i="18"/>
  <c r="M206" i="29" s="1"/>
  <c r="J54" i="18"/>
  <c r="M205" i="29" s="1"/>
  <c r="K53" i="18"/>
  <c r="J53" i="18"/>
  <c r="M204" i="29" s="1"/>
  <c r="J52" i="18"/>
  <c r="M203" i="29" s="1"/>
  <c r="J51" i="18"/>
  <c r="M202" i="29" s="1"/>
  <c r="J50" i="18"/>
  <c r="M201" i="29" s="1"/>
  <c r="J49" i="18"/>
  <c r="M200" i="29" s="1"/>
  <c r="K48" i="18"/>
  <c r="J48" i="18"/>
  <c r="L48" i="18" s="1"/>
  <c r="K47" i="18"/>
  <c r="J47" i="18"/>
  <c r="M198" i="29" s="1"/>
  <c r="J46" i="18"/>
  <c r="M197" i="29" s="1"/>
  <c r="J45" i="18"/>
  <c r="M196" i="29" s="1"/>
  <c r="K44" i="18"/>
  <c r="J44" i="18"/>
  <c r="J43" i="18"/>
  <c r="M194" i="29" s="1"/>
  <c r="K42" i="18"/>
  <c r="J42" i="18"/>
  <c r="M193" i="29" s="1"/>
  <c r="J41" i="18"/>
  <c r="M192" i="29" s="1"/>
  <c r="J40" i="18"/>
  <c r="M191" i="29" s="1"/>
  <c r="J39" i="18"/>
  <c r="M190" i="29" s="1"/>
  <c r="J38" i="18"/>
  <c r="M189" i="29" s="1"/>
  <c r="J37" i="18"/>
  <c r="M188" i="29" s="1"/>
  <c r="K36" i="18"/>
  <c r="J36" i="18"/>
  <c r="J35" i="18"/>
  <c r="M186" i="29" s="1"/>
  <c r="K34" i="18"/>
  <c r="J34" i="18"/>
  <c r="M185" i="29" s="1"/>
  <c r="J33" i="18"/>
  <c r="M184" i="29" s="1"/>
  <c r="J32" i="18"/>
  <c r="M183" i="29" s="1"/>
  <c r="J31" i="18"/>
  <c r="M182" i="29" s="1"/>
  <c r="K30" i="18"/>
  <c r="J30" i="18"/>
  <c r="M181" i="29" s="1"/>
  <c r="J29" i="18"/>
  <c r="M180" i="29" s="1"/>
  <c r="J28" i="18"/>
  <c r="M179" i="29" s="1"/>
  <c r="J27" i="18"/>
  <c r="M178" i="29" s="1"/>
  <c r="K26" i="18"/>
  <c r="J26" i="18"/>
  <c r="L26" i="18" s="1"/>
  <c r="J25" i="18"/>
  <c r="M176" i="29" s="1"/>
  <c r="K24" i="18"/>
  <c r="J24" i="18"/>
  <c r="M175" i="29" s="1"/>
  <c r="J23" i="18"/>
  <c r="M174" i="29" s="1"/>
  <c r="J22" i="18"/>
  <c r="M173" i="29" s="1"/>
  <c r="J21" i="18"/>
  <c r="M172" i="29" s="1"/>
  <c r="J20" i="18"/>
  <c r="J29" i="14"/>
  <c r="M101" i="29" s="1"/>
  <c r="K69" i="14"/>
  <c r="J69" i="14"/>
  <c r="M143" i="29" s="1"/>
  <c r="J68" i="14"/>
  <c r="M142" i="29" s="1"/>
  <c r="J67" i="14"/>
  <c r="M141" i="29" s="1"/>
  <c r="J66" i="14"/>
  <c r="M140" i="29" s="1"/>
  <c r="J65" i="14"/>
  <c r="M139" i="29" s="1"/>
  <c r="J64" i="14"/>
  <c r="M138" i="29" s="1"/>
  <c r="J63" i="14"/>
  <c r="M137" i="29" s="1"/>
  <c r="J62" i="14"/>
  <c r="K61" i="14"/>
  <c r="J61" i="14"/>
  <c r="M135" i="29" s="1"/>
  <c r="J60" i="14"/>
  <c r="M134" i="29" s="1"/>
  <c r="J59" i="14"/>
  <c r="M133" i="29" s="1"/>
  <c r="J58" i="14"/>
  <c r="M132" i="29" s="1"/>
  <c r="J57" i="14"/>
  <c r="M131" i="29" s="1"/>
  <c r="K56" i="14"/>
  <c r="M130" i="29"/>
  <c r="M129" i="29"/>
  <c r="M128" i="29"/>
  <c r="K53" i="14"/>
  <c r="M126" i="29"/>
  <c r="M125" i="29"/>
  <c r="M124" i="29"/>
  <c r="K50" i="14"/>
  <c r="J50" i="14"/>
  <c r="M122" i="29" s="1"/>
  <c r="J49" i="14"/>
  <c r="M121" i="29" s="1"/>
  <c r="J48" i="14"/>
  <c r="M120" i="29" s="1"/>
  <c r="K47" i="14"/>
  <c r="J47" i="14"/>
  <c r="M119" i="29" s="1"/>
  <c r="J46" i="14"/>
  <c r="M118" i="29" s="1"/>
  <c r="J45" i="14"/>
  <c r="M117" i="29" s="1"/>
  <c r="J44" i="14"/>
  <c r="M116" i="29" s="1"/>
  <c r="J43" i="14"/>
  <c r="M115" i="29" s="1"/>
  <c r="J42" i="14"/>
  <c r="M114" i="29" s="1"/>
  <c r="K41" i="14"/>
  <c r="J41" i="14"/>
  <c r="M113" i="29" s="1"/>
  <c r="J40" i="14"/>
  <c r="M112" i="29" s="1"/>
  <c r="J39" i="14"/>
  <c r="M111" i="29" s="1"/>
  <c r="J38" i="14"/>
  <c r="M110" i="29" s="1"/>
  <c r="J37" i="14"/>
  <c r="M109" i="29" s="1"/>
  <c r="J36" i="14"/>
  <c r="M108" i="29" s="1"/>
  <c r="K35" i="14"/>
  <c r="J35" i="14"/>
  <c r="M107" i="29" s="1"/>
  <c r="J34" i="14"/>
  <c r="M106" i="29" s="1"/>
  <c r="K33" i="14"/>
  <c r="J33" i="14"/>
  <c r="J32" i="14"/>
  <c r="M104" i="29" s="1"/>
  <c r="K31" i="14"/>
  <c r="J31" i="14"/>
  <c r="M103" i="29" s="1"/>
  <c r="J30" i="14"/>
  <c r="M102" i="29" s="1"/>
  <c r="J28" i="14"/>
  <c r="M100" i="29" s="1"/>
  <c r="J27" i="14"/>
  <c r="M99" i="29" s="1"/>
  <c r="J26" i="14"/>
  <c r="M98" i="29" s="1"/>
  <c r="J24" i="14"/>
  <c r="M96" i="29" s="1"/>
  <c r="J23" i="14"/>
  <c r="M95" i="29" s="1"/>
  <c r="J22" i="14"/>
  <c r="M94" i="29" s="1"/>
  <c r="J20" i="14"/>
  <c r="M92" i="29" s="1"/>
  <c r="R15" i="19"/>
  <c r="Y15" i="19" s="1"/>
  <c r="Z15" i="19" s="1"/>
  <c r="R9" i="19"/>
  <c r="Y9" i="19" s="1"/>
  <c r="Z9" i="19" s="1"/>
  <c r="P13" i="19"/>
  <c r="Z13" i="19" s="1"/>
  <c r="P7" i="19"/>
  <c r="Z7" i="19" s="1"/>
  <c r="Y16" i="19"/>
  <c r="Y14" i="19"/>
  <c r="Y13" i="19"/>
  <c r="Y10" i="19"/>
  <c r="Y8" i="19"/>
  <c r="Y7" i="19"/>
  <c r="P8" i="19" l="1"/>
  <c r="Z8" i="19" s="1"/>
  <c r="P10" i="19"/>
  <c r="Z10" i="19" s="1"/>
  <c r="L96" i="18"/>
  <c r="P14" i="19"/>
  <c r="Z14" i="19" s="1"/>
  <c r="L103" i="18"/>
  <c r="M91" i="29"/>
  <c r="O287" i="29"/>
  <c r="Z295" i="12"/>
  <c r="P16" i="19"/>
  <c r="Z16" i="19" s="1"/>
  <c r="L65" i="18"/>
  <c r="O91" i="29"/>
  <c r="AD348" i="12"/>
  <c r="AB271" i="8"/>
  <c r="AD363" i="12"/>
  <c r="L323" i="29"/>
  <c r="L834" i="29" s="1"/>
  <c r="L345" i="29"/>
  <c r="L856" i="29" s="1"/>
  <c r="L33" i="14"/>
  <c r="M323" i="29"/>
  <c r="M834" i="29" s="1"/>
  <c r="L35" i="14"/>
  <c r="L61" i="14"/>
  <c r="M105" i="29"/>
  <c r="L50" i="14"/>
  <c r="K70" i="14"/>
  <c r="L69" i="14"/>
  <c r="M319" i="29"/>
  <c r="M830" i="29" s="1"/>
  <c r="L479" i="29"/>
  <c r="L486" i="29"/>
  <c r="L582" i="29"/>
  <c r="L618" i="29"/>
  <c r="L665" i="29"/>
  <c r="L719" i="29"/>
  <c r="L726" i="29"/>
  <c r="L468" i="29"/>
  <c r="L485" i="29"/>
  <c r="L581" i="29"/>
  <c r="L588" i="29"/>
  <c r="L624" i="29"/>
  <c r="L696" i="29"/>
  <c r="L725" i="29"/>
  <c r="L744" i="29"/>
  <c r="L474" i="29"/>
  <c r="L546" i="29"/>
  <c r="L587" i="29"/>
  <c r="L606" i="29"/>
  <c r="L636" i="29"/>
  <c r="L695" i="29"/>
  <c r="L702" i="29"/>
  <c r="L743" i="29"/>
  <c r="L750" i="29"/>
  <c r="AB255" i="8"/>
  <c r="L473" i="29"/>
  <c r="L480" i="29"/>
  <c r="L576" i="29"/>
  <c r="L612" i="29"/>
  <c r="L666" i="29"/>
  <c r="L701" i="29"/>
  <c r="L720" i="29"/>
  <c r="L749" i="29"/>
  <c r="AD368" i="12"/>
  <c r="AD366" i="12"/>
  <c r="L802" i="29" s="1"/>
  <c r="AD347" i="12"/>
  <c r="AD345" i="12"/>
  <c r="AD349" i="12"/>
  <c r="M277" i="29"/>
  <c r="K44" i="16"/>
  <c r="L67" i="14"/>
  <c r="M345" i="29"/>
  <c r="M856" i="29" s="1"/>
  <c r="M136" i="29"/>
  <c r="N345" i="29"/>
  <c r="N856" i="29" s="1"/>
  <c r="L319" i="29"/>
  <c r="L830" i="29" s="1"/>
  <c r="L358" i="29"/>
  <c r="L870" i="29" s="1"/>
  <c r="N334" i="29"/>
  <c r="N845" i="29" s="1"/>
  <c r="N319" i="29"/>
  <c r="N830" i="29" s="1"/>
  <c r="N358" i="29"/>
  <c r="N870" i="29" s="1"/>
  <c r="M334" i="29"/>
  <c r="M845" i="29" s="1"/>
  <c r="L336" i="29"/>
  <c r="L847" i="29" s="1"/>
  <c r="L334" i="29"/>
  <c r="L845" i="29" s="1"/>
  <c r="K136" i="18"/>
  <c r="L113" i="18"/>
  <c r="M264" i="29"/>
  <c r="L121" i="18"/>
  <c r="M272" i="29"/>
  <c r="M358" i="29" s="1"/>
  <c r="M870" i="29" s="1"/>
  <c r="L135" i="18"/>
  <c r="M286" i="29"/>
  <c r="M229" i="29"/>
  <c r="M253" i="29"/>
  <c r="M261" i="29"/>
  <c r="M265" i="29"/>
  <c r="M269" i="29"/>
  <c r="M273" i="29"/>
  <c r="M349" i="29" s="1"/>
  <c r="M860" i="29" s="1"/>
  <c r="L44" i="18"/>
  <c r="L59" i="18"/>
  <c r="M210" i="29"/>
  <c r="L80" i="18"/>
  <c r="L89" i="18"/>
  <c r="M240" i="29"/>
  <c r="L117" i="18"/>
  <c r="M285" i="29"/>
  <c r="L111" i="18"/>
  <c r="M262" i="29"/>
  <c r="L123" i="18"/>
  <c r="M274" i="29"/>
  <c r="L84" i="18"/>
  <c r="L88" i="18"/>
  <c r="M238" i="29"/>
  <c r="L105" i="18"/>
  <c r="M256" i="29"/>
  <c r="N338" i="29"/>
  <c r="N849" i="29" s="1"/>
  <c r="L337" i="29"/>
  <c r="L848" i="29" s="1"/>
  <c r="L331" i="29"/>
  <c r="L842" i="29" s="1"/>
  <c r="M215" i="29"/>
  <c r="M246" i="29"/>
  <c r="M263" i="29"/>
  <c r="L24" i="18"/>
  <c r="L36" i="18"/>
  <c r="L47" i="18"/>
  <c r="L69" i="18"/>
  <c r="L81" i="18"/>
  <c r="M232" i="29"/>
  <c r="L86" i="18"/>
  <c r="M236" i="29"/>
  <c r="L91" i="18"/>
  <c r="L109" i="18"/>
  <c r="L125" i="18"/>
  <c r="M276" i="29"/>
  <c r="L127" i="18"/>
  <c r="M278" i="29"/>
  <c r="L131" i="18"/>
  <c r="M280" i="29"/>
  <c r="L133" i="18"/>
  <c r="M171" i="29"/>
  <c r="M177" i="29"/>
  <c r="M187" i="29"/>
  <c r="M326" i="29" s="1"/>
  <c r="M837" i="29" s="1"/>
  <c r="M195" i="29"/>
  <c r="M199" i="29"/>
  <c r="M279" i="29"/>
  <c r="M283" i="29"/>
  <c r="N337" i="29"/>
  <c r="N848" i="29" s="1"/>
  <c r="L321" i="29"/>
  <c r="L832" i="29" s="1"/>
  <c r="L338" i="29"/>
  <c r="L849" i="29" s="1"/>
  <c r="N321" i="29"/>
  <c r="N832" i="29" s="1"/>
  <c r="M336" i="29"/>
  <c r="M847" i="29" s="1"/>
  <c r="M331" i="29"/>
  <c r="M842" i="29" s="1"/>
  <c r="AB278" i="8"/>
  <c r="AB256" i="8"/>
  <c r="AB257" i="8"/>
  <c r="AB264" i="8"/>
  <c r="AB147" i="8"/>
  <c r="AB240" i="8"/>
  <c r="AC234" i="8"/>
  <c r="AC249" i="8"/>
  <c r="AD189" i="8"/>
  <c r="AB233" i="8"/>
  <c r="AD147" i="8"/>
  <c r="AB159" i="8"/>
  <c r="AC177" i="8"/>
  <c r="AB187" i="8"/>
  <c r="AB150" i="8"/>
  <c r="AD172" i="8"/>
  <c r="AD187" i="8"/>
  <c r="AC184" i="8"/>
  <c r="AB189" i="8"/>
  <c r="AD228" i="8"/>
  <c r="AD254" i="8"/>
  <c r="AD261" i="8"/>
  <c r="AD143" i="8"/>
  <c r="AC156" i="8"/>
  <c r="AD164" i="8"/>
  <c r="AB208" i="8"/>
  <c r="AD214" i="8"/>
  <c r="AD217" i="8"/>
  <c r="AC219" i="8"/>
  <c r="AD285" i="8"/>
  <c r="AC191" i="8"/>
  <c r="AD137" i="8"/>
  <c r="AB154" i="8"/>
  <c r="AD200" i="8"/>
  <c r="AC212" i="8"/>
  <c r="AB217" i="8"/>
  <c r="AB248" i="8"/>
  <c r="AD250" i="8"/>
  <c r="AD133" i="8"/>
  <c r="AC137" i="8"/>
  <c r="AD138" i="8"/>
  <c r="AB140" i="8"/>
  <c r="AC149" i="8"/>
  <c r="AB152" i="8"/>
  <c r="AC158" i="8"/>
  <c r="AD161" i="8"/>
  <c r="AC170" i="8"/>
  <c r="AD171" i="8"/>
  <c r="AB175" i="8"/>
  <c r="AD177" i="8"/>
  <c r="AB185" i="8"/>
  <c r="AB192" i="8"/>
  <c r="AC193" i="8"/>
  <c r="AB194" i="8"/>
  <c r="AD196" i="8"/>
  <c r="AC205" i="8"/>
  <c r="AD206" i="8"/>
  <c r="AB210" i="8"/>
  <c r="AB220" i="8"/>
  <c r="AC221" i="8"/>
  <c r="AB222" i="8"/>
  <c r="AD224" i="8"/>
  <c r="AG239" i="8"/>
  <c r="AC250" i="8"/>
  <c r="AC256" i="8"/>
  <c r="AC263" i="8"/>
  <c r="AB143" i="8"/>
  <c r="AD157" i="8"/>
  <c r="AB164" i="8"/>
  <c r="AC165" i="8"/>
  <c r="AB166" i="8"/>
  <c r="AD168" i="8"/>
  <c r="AD178" i="8"/>
  <c r="AB199" i="8"/>
  <c r="AC200" i="8"/>
  <c r="AB201" i="8"/>
  <c r="AD203" i="8"/>
  <c r="AD213" i="8"/>
  <c r="AB227" i="8"/>
  <c r="AC228" i="8"/>
  <c r="AB229" i="8"/>
  <c r="AD235" i="8"/>
  <c r="AC257" i="8"/>
  <c r="AB262" i="8"/>
  <c r="AB263" i="8"/>
  <c r="AC264" i="8"/>
  <c r="AB133" i="8"/>
  <c r="AC135" i="8"/>
  <c r="AB136" i="8"/>
  <c r="AB138" i="8"/>
  <c r="AC144" i="8"/>
  <c r="AB145" i="8"/>
  <c r="AC151" i="8"/>
  <c r="AD152" i="8"/>
  <c r="AB161" i="8"/>
  <c r="AD163" i="8"/>
  <c r="AB171" i="8"/>
  <c r="AC172" i="8"/>
  <c r="AB173" i="8"/>
  <c r="AD175" i="8"/>
  <c r="AD192" i="8"/>
  <c r="AB196" i="8"/>
  <c r="AB206" i="8"/>
  <c r="AC207" i="8"/>
  <c r="AD210" i="8"/>
  <c r="AD220" i="8"/>
  <c r="AB224" i="8"/>
  <c r="AG231" i="8"/>
  <c r="AI236" i="8" s="1"/>
  <c r="AB245" i="8"/>
  <c r="AD247" i="8"/>
  <c r="AB249" i="8"/>
  <c r="AC142" i="8"/>
  <c r="AD151" i="8"/>
  <c r="AB157" i="8"/>
  <c r="AC163" i="8"/>
  <c r="AB168" i="8"/>
  <c r="AD170" i="8"/>
  <c r="AB180" i="8"/>
  <c r="AB178" i="8"/>
  <c r="AD180" i="8"/>
  <c r="AB182" i="8"/>
  <c r="AC186" i="8"/>
  <c r="AC198" i="8"/>
  <c r="AD199" i="8"/>
  <c r="AB203" i="8"/>
  <c r="AB213" i="8"/>
  <c r="AC214" i="8"/>
  <c r="AB215" i="8"/>
  <c r="AC226" i="8"/>
  <c r="AD227" i="8"/>
  <c r="AB250" i="8"/>
  <c r="AG245" i="8"/>
  <c r="AI250" i="8" s="1"/>
  <c r="AB252" i="8"/>
  <c r="AD257" i="8"/>
  <c r="AB259" i="8"/>
  <c r="AD264" i="8"/>
  <c r="AB266" i="8"/>
  <c r="AD271" i="8"/>
  <c r="AB273" i="8"/>
  <c r="AD278" i="8"/>
  <c r="AB280" i="8"/>
  <c r="L471" i="29"/>
  <c r="L478" i="29"/>
  <c r="L543" i="29"/>
  <c r="L574" i="29"/>
  <c r="L603" i="29"/>
  <c r="L610" i="29"/>
  <c r="L620" i="29"/>
  <c r="L633" i="29"/>
  <c r="L664" i="29"/>
  <c r="L699" i="29"/>
  <c r="L718" i="29"/>
  <c r="L739" i="29"/>
  <c r="L747" i="29"/>
  <c r="AC270" i="8"/>
  <c r="AC277" i="8"/>
  <c r="AC284" i="8"/>
  <c r="L477" i="29"/>
  <c r="L484" i="29"/>
  <c r="L542" i="29"/>
  <c r="L573" i="29"/>
  <c r="L580" i="29"/>
  <c r="L609" i="29"/>
  <c r="L616" i="29"/>
  <c r="L663" i="29"/>
  <c r="L698" i="29"/>
  <c r="L717" i="29"/>
  <c r="L724" i="29"/>
  <c r="AD268" i="8"/>
  <c r="AB269" i="8"/>
  <c r="AB270" i="8"/>
  <c r="AC271" i="8"/>
  <c r="AD275" i="8"/>
  <c r="AB276" i="8"/>
  <c r="AB277" i="8"/>
  <c r="AC278" i="8"/>
  <c r="AD282" i="8"/>
  <c r="AB283" i="8"/>
  <c r="AB284" i="8"/>
  <c r="L466" i="29"/>
  <c r="L483" i="29"/>
  <c r="L579" i="29"/>
  <c r="L586" i="29"/>
  <c r="L608" i="29"/>
  <c r="L615" i="29"/>
  <c r="L622" i="29"/>
  <c r="L662" i="29"/>
  <c r="L694" i="29"/>
  <c r="L723" i="29"/>
  <c r="L742" i="29"/>
  <c r="L465" i="29"/>
  <c r="L472" i="29"/>
  <c r="L544" i="29"/>
  <c r="L585" i="29"/>
  <c r="L604" i="29"/>
  <c r="L621" i="29"/>
  <c r="L634" i="29"/>
  <c r="L693" i="29"/>
  <c r="L700" i="29"/>
  <c r="L741" i="29"/>
  <c r="L748" i="29"/>
  <c r="L795" i="29"/>
  <c r="AD338" i="12"/>
  <c r="AA234" i="12"/>
  <c r="AD206" i="12"/>
  <c r="L487" i="29" s="1"/>
  <c r="AD207" i="12"/>
  <c r="L488" i="29" s="1"/>
  <c r="AD248" i="12"/>
  <c r="AD352" i="12"/>
  <c r="S307" i="12"/>
  <c r="T308" i="12"/>
  <c r="L798" i="29"/>
  <c r="L799" i="29"/>
  <c r="S361" i="12"/>
  <c r="Y361" i="12" s="1"/>
  <c r="T362" i="12"/>
  <c r="Z362" i="12" s="1"/>
  <c r="Y225" i="12"/>
  <c r="AD234" i="12"/>
  <c r="AA248" i="12"/>
  <c r="Z297" i="12"/>
  <c r="L804" i="29"/>
  <c r="AD358" i="12"/>
  <c r="S199" i="12"/>
  <c r="Y199" i="12" s="1"/>
  <c r="S202" i="12"/>
  <c r="Y202" i="12" s="1"/>
  <c r="U203" i="12"/>
  <c r="AA203" i="12" s="1"/>
  <c r="AA211" i="12"/>
  <c r="AA274" i="12"/>
  <c r="U208" i="12"/>
  <c r="AA208" i="12" s="1"/>
  <c r="U209" i="12"/>
  <c r="AA209" i="12" s="1"/>
  <c r="Z216" i="12"/>
  <c r="T279" i="12"/>
  <c r="Z279" i="12" s="1"/>
  <c r="U280" i="12"/>
  <c r="AA280" i="12" s="1"/>
  <c r="Y288" i="12"/>
  <c r="S304" i="12"/>
  <c r="Y304" i="12" s="1"/>
  <c r="U306" i="12"/>
  <c r="AA306" i="12" s="1"/>
  <c r="L797" i="29"/>
  <c r="U359" i="12"/>
  <c r="AA359" i="12" s="1"/>
  <c r="S206" i="12"/>
  <c r="Y206" i="12" s="1"/>
  <c r="AD262" i="12"/>
  <c r="AF267" i="12" s="1"/>
  <c r="AD297" i="12"/>
  <c r="S209" i="12"/>
  <c r="Y209" i="12" s="1"/>
  <c r="U206" i="12"/>
  <c r="AA206" i="12" s="1"/>
  <c r="L794" i="29"/>
  <c r="L796" i="29"/>
  <c r="N336" i="29"/>
  <c r="N847" i="29" s="1"/>
  <c r="L333" i="29"/>
  <c r="L844" i="29" s="1"/>
  <c r="N333" i="29"/>
  <c r="N844" i="29" s="1"/>
  <c r="N331" i="29"/>
  <c r="N842" i="29" s="1"/>
  <c r="N349" i="29"/>
  <c r="N860" i="29" s="1"/>
  <c r="L349" i="29"/>
  <c r="L860" i="29" s="1"/>
  <c r="M333" i="29"/>
  <c r="M844" i="29" s="1"/>
  <c r="T232" i="12"/>
  <c r="Z232" i="12" s="1"/>
  <c r="U232" i="12"/>
  <c r="AA232" i="12" s="1"/>
  <c r="S227" i="12"/>
  <c r="Y227" i="12" s="1"/>
  <c r="T231" i="12"/>
  <c r="Z231" i="12" s="1"/>
  <c r="S230" i="12"/>
  <c r="Y230" i="12" s="1"/>
  <c r="S356" i="12"/>
  <c r="Y356" i="12" s="1"/>
  <c r="T356" i="12"/>
  <c r="Z356" i="12" s="1"/>
  <c r="S355" i="12"/>
  <c r="Y355" i="12" s="1"/>
  <c r="U353" i="12"/>
  <c r="AA353" i="12" s="1"/>
  <c r="T335" i="12"/>
  <c r="Z335" i="12" s="1"/>
  <c r="S334" i="12"/>
  <c r="Y334" i="12" s="1"/>
  <c r="T332" i="12"/>
  <c r="Z332" i="12" s="1"/>
  <c r="U336" i="12"/>
  <c r="AA336" i="12" s="1"/>
  <c r="S246" i="12"/>
  <c r="Y246" i="12" s="1"/>
  <c r="T246" i="12"/>
  <c r="Z246" i="12" s="1"/>
  <c r="T245" i="12"/>
  <c r="Z245" i="12" s="1"/>
  <c r="S245" i="12"/>
  <c r="Y245" i="12" s="1"/>
  <c r="S244" i="12"/>
  <c r="U243" i="12"/>
  <c r="AA243" i="12" s="1"/>
  <c r="S241" i="12"/>
  <c r="Y241" i="12" s="1"/>
  <c r="U246" i="12"/>
  <c r="AA246" i="12" s="1"/>
  <c r="S260" i="12"/>
  <c r="Y260" i="12" s="1"/>
  <c r="T260" i="12"/>
  <c r="Z260" i="12" s="1"/>
  <c r="T259" i="12"/>
  <c r="Z259" i="12" s="1"/>
  <c r="S259" i="12"/>
  <c r="Y259" i="12" s="1"/>
  <c r="S258" i="12"/>
  <c r="U257" i="12"/>
  <c r="AA257" i="12" s="1"/>
  <c r="S255" i="12"/>
  <c r="Y255" i="12" s="1"/>
  <c r="U260" i="12"/>
  <c r="AA260" i="12" s="1"/>
  <c r="U314" i="12"/>
  <c r="AA314" i="12" s="1"/>
  <c r="T314" i="12"/>
  <c r="Z314" i="12" s="1"/>
  <c r="S313" i="12"/>
  <c r="Y313" i="12" s="1"/>
  <c r="S316" i="12"/>
  <c r="Y316" i="12" s="1"/>
  <c r="T311" i="12"/>
  <c r="Z311" i="12" s="1"/>
  <c r="U315" i="12"/>
  <c r="AA315" i="12" s="1"/>
  <c r="Z194" i="12"/>
  <c r="U222" i="12"/>
  <c r="AA222" i="12" s="1"/>
  <c r="Y362" i="12"/>
  <c r="S273" i="12"/>
  <c r="Y273" i="12" s="1"/>
  <c r="Y278" i="12"/>
  <c r="U283" i="12"/>
  <c r="AA283" i="12" s="1"/>
  <c r="AD284" i="12"/>
  <c r="L668" i="29" s="1"/>
  <c r="AD291" i="12"/>
  <c r="L692" i="29" s="1"/>
  <c r="AD311" i="12"/>
  <c r="L721" i="29" s="1"/>
  <c r="AD332" i="12"/>
  <c r="AD179" i="12"/>
  <c r="S204" i="12"/>
  <c r="Y204" i="12" s="1"/>
  <c r="T208" i="12"/>
  <c r="Z208" i="12" s="1"/>
  <c r="S210" i="12"/>
  <c r="Y210" i="12" s="1"/>
  <c r="S211" i="12"/>
  <c r="Y211" i="12" s="1"/>
  <c r="U220" i="12"/>
  <c r="AA220" i="12" s="1"/>
  <c r="AD221" i="12"/>
  <c r="L572" i="29" s="1"/>
  <c r="S279" i="12"/>
  <c r="Y279" i="12" s="1"/>
  <c r="T285" i="12"/>
  <c r="Z285" i="12" s="1"/>
  <c r="Z202" i="12"/>
  <c r="T222" i="12"/>
  <c r="Z222" i="12" s="1"/>
  <c r="U286" i="12"/>
  <c r="S287" i="12"/>
  <c r="L691" i="29"/>
  <c r="AF316" i="12"/>
  <c r="U182" i="12"/>
  <c r="AA182" i="12" s="1"/>
  <c r="T181" i="12"/>
  <c r="Z181" i="12" s="1"/>
  <c r="U183" i="12"/>
  <c r="AA183" i="12" s="1"/>
  <c r="T180" i="12"/>
  <c r="Z180" i="12" s="1"/>
  <c r="U178" i="12"/>
  <c r="AA178" i="12" s="1"/>
  <c r="T183" i="12"/>
  <c r="Z183" i="12" s="1"/>
  <c r="T182" i="12"/>
  <c r="Z182" i="12" s="1"/>
  <c r="S180" i="12"/>
  <c r="Y180" i="12" s="1"/>
  <c r="T178" i="12"/>
  <c r="Z178" i="12" s="1"/>
  <c r="S183" i="12"/>
  <c r="Y183" i="12" s="1"/>
  <c r="S182" i="12"/>
  <c r="Y182" i="12" s="1"/>
  <c r="U181" i="12"/>
  <c r="AA181" i="12" s="1"/>
  <c r="S178" i="12"/>
  <c r="Y178" i="12" s="1"/>
  <c r="S181" i="12"/>
  <c r="Y181" i="12" s="1"/>
  <c r="U180" i="12"/>
  <c r="AA180" i="12" s="1"/>
  <c r="T190" i="12"/>
  <c r="Z190" i="12" s="1"/>
  <c r="S189" i="12"/>
  <c r="Y189" i="12" s="1"/>
  <c r="U187" i="12"/>
  <c r="AA187" i="12" s="1"/>
  <c r="U190" i="12"/>
  <c r="AA190" i="12" s="1"/>
  <c r="T185" i="12"/>
  <c r="Z185" i="12" s="1"/>
  <c r="U188" i="12"/>
  <c r="AA188" i="12" s="1"/>
  <c r="T189" i="12"/>
  <c r="Z189" i="12" s="1"/>
  <c r="AD199" i="12"/>
  <c r="U185" i="12"/>
  <c r="AA185" i="12" s="1"/>
  <c r="U189" i="12"/>
  <c r="AA189" i="12" s="1"/>
  <c r="S190" i="12"/>
  <c r="Y190" i="12" s="1"/>
  <c r="U196" i="12"/>
  <c r="AA196" i="12" s="1"/>
  <c r="T195" i="12"/>
  <c r="Z195" i="12" s="1"/>
  <c r="S194" i="12"/>
  <c r="Y194" i="12" s="1"/>
  <c r="T192" i="12"/>
  <c r="Z192" i="12" s="1"/>
  <c r="S195" i="12"/>
  <c r="Y195" i="12" s="1"/>
  <c r="U194" i="12"/>
  <c r="AA194" i="12" s="1"/>
  <c r="S192" i="12"/>
  <c r="Y192" i="12" s="1"/>
  <c r="S197" i="12"/>
  <c r="Y197" i="12" s="1"/>
  <c r="U204" i="12"/>
  <c r="AA204" i="12" s="1"/>
  <c r="S187" i="12"/>
  <c r="Y187" i="12" s="1"/>
  <c r="S188" i="12"/>
  <c r="Y188" i="12" s="1"/>
  <c r="AD193" i="12"/>
  <c r="S196" i="12"/>
  <c r="Y196" i="12" s="1"/>
  <c r="T197" i="12"/>
  <c r="Z197" i="12" s="1"/>
  <c r="U199" i="12"/>
  <c r="AA199" i="12" s="1"/>
  <c r="S201" i="12"/>
  <c r="Y201" i="12" s="1"/>
  <c r="S185" i="12"/>
  <c r="Y185" i="12" s="1"/>
  <c r="AD185" i="12"/>
  <c r="T187" i="12"/>
  <c r="Z187" i="12" s="1"/>
  <c r="T188" i="12"/>
  <c r="Z188" i="12" s="1"/>
  <c r="U192" i="12"/>
  <c r="AA192" i="12" s="1"/>
  <c r="U195" i="12"/>
  <c r="AA195" i="12" s="1"/>
  <c r="T196" i="12"/>
  <c r="Z196" i="12" s="1"/>
  <c r="U197" i="12"/>
  <c r="AA197" i="12" s="1"/>
  <c r="T204" i="12"/>
  <c r="Z204" i="12" s="1"/>
  <c r="S203" i="12"/>
  <c r="Y203" i="12" s="1"/>
  <c r="U201" i="12"/>
  <c r="AA201" i="12" s="1"/>
  <c r="T203" i="12"/>
  <c r="Z203" i="12" s="1"/>
  <c r="U202" i="12"/>
  <c r="AA202" i="12" s="1"/>
  <c r="T199" i="12"/>
  <c r="Z199" i="12" s="1"/>
  <c r="T201" i="12"/>
  <c r="Z201" i="12" s="1"/>
  <c r="S213" i="12"/>
  <c r="Y213" i="12" s="1"/>
  <c r="AD213" i="12"/>
  <c r="T215" i="12"/>
  <c r="Z215" i="12" s="1"/>
  <c r="T218" i="12"/>
  <c r="Z218" i="12" s="1"/>
  <c r="S217" i="12"/>
  <c r="Y217" i="12" s="1"/>
  <c r="U215" i="12"/>
  <c r="AA215" i="12" s="1"/>
  <c r="T213" i="12"/>
  <c r="Z213" i="12" s="1"/>
  <c r="U216" i="12"/>
  <c r="AA216" i="12" s="1"/>
  <c r="T217" i="12"/>
  <c r="Z217" i="12" s="1"/>
  <c r="U213" i="12"/>
  <c r="AA213" i="12" s="1"/>
  <c r="U217" i="12"/>
  <c r="AA217" i="12" s="1"/>
  <c r="S218" i="12"/>
  <c r="Y218" i="12" s="1"/>
  <c r="U224" i="12"/>
  <c r="AA224" i="12" s="1"/>
  <c r="T223" i="12"/>
  <c r="Z223" i="12" s="1"/>
  <c r="S222" i="12"/>
  <c r="Y222" i="12" s="1"/>
  <c r="T220" i="12"/>
  <c r="Z220" i="12" s="1"/>
  <c r="U225" i="12"/>
  <c r="AA225" i="12" s="1"/>
  <c r="T224" i="12"/>
  <c r="Z224" i="12" s="1"/>
  <c r="S223" i="12"/>
  <c r="Y223" i="12" s="1"/>
  <c r="S220" i="12"/>
  <c r="Y220" i="12" s="1"/>
  <c r="T225" i="12"/>
  <c r="Z225" i="12" s="1"/>
  <c r="S224" i="12"/>
  <c r="Y224" i="12" s="1"/>
  <c r="U223" i="12"/>
  <c r="AA223" i="12" s="1"/>
  <c r="AF239" i="12"/>
  <c r="U253" i="12"/>
  <c r="AA253" i="12" s="1"/>
  <c r="T252" i="12"/>
  <c r="Z252" i="12" s="1"/>
  <c r="S251" i="12"/>
  <c r="Y251" i="12" s="1"/>
  <c r="S248" i="12"/>
  <c r="Y248" i="12" s="1"/>
  <c r="T253" i="12"/>
  <c r="Z253" i="12" s="1"/>
  <c r="S252" i="12"/>
  <c r="Y252" i="12" s="1"/>
  <c r="U250" i="12"/>
  <c r="AA250" i="12" s="1"/>
  <c r="U251" i="12"/>
  <c r="AA251" i="12" s="1"/>
  <c r="S250" i="12"/>
  <c r="Y250" i="12" s="1"/>
  <c r="T248" i="12"/>
  <c r="Z248" i="12" s="1"/>
  <c r="U252" i="12"/>
  <c r="AA252" i="12" s="1"/>
  <c r="T251" i="12"/>
  <c r="Z251" i="12" s="1"/>
  <c r="S253" i="12"/>
  <c r="Y253" i="12" s="1"/>
  <c r="U210" i="12"/>
  <c r="AA210" i="12" s="1"/>
  <c r="T209" i="12"/>
  <c r="Z209" i="12" s="1"/>
  <c r="S208" i="12"/>
  <c r="Y208" i="12" s="1"/>
  <c r="T206" i="12"/>
  <c r="Z206" i="12" s="1"/>
  <c r="T210" i="12"/>
  <c r="Z210" i="12" s="1"/>
  <c r="T211" i="12"/>
  <c r="Z211" i="12" s="1"/>
  <c r="S215" i="12"/>
  <c r="Y215" i="12" s="1"/>
  <c r="S216" i="12"/>
  <c r="Y216" i="12" s="1"/>
  <c r="U218" i="12"/>
  <c r="AA218" i="12" s="1"/>
  <c r="AD228" i="12"/>
  <c r="L578" i="29" s="1"/>
  <c r="AD227" i="12"/>
  <c r="U239" i="12"/>
  <c r="AA239" i="12" s="1"/>
  <c r="T238" i="12"/>
  <c r="Z238" i="12" s="1"/>
  <c r="S237" i="12"/>
  <c r="Y237" i="12" s="1"/>
  <c r="T239" i="12"/>
  <c r="Z239" i="12" s="1"/>
  <c r="S238" i="12"/>
  <c r="Y238" i="12" s="1"/>
  <c r="U236" i="12"/>
  <c r="AA236" i="12" s="1"/>
  <c r="U237" i="12"/>
  <c r="AA237" i="12" s="1"/>
  <c r="S236" i="12"/>
  <c r="Y236" i="12" s="1"/>
  <c r="T234" i="12"/>
  <c r="Z234" i="12" s="1"/>
  <c r="U238" i="12"/>
  <c r="AA238" i="12" s="1"/>
  <c r="T237" i="12"/>
  <c r="Z237" i="12" s="1"/>
  <c r="S234" i="12"/>
  <c r="Y234" i="12" s="1"/>
  <c r="S239" i="12"/>
  <c r="Y239" i="12" s="1"/>
  <c r="T236" i="12"/>
  <c r="Z236" i="12" s="1"/>
  <c r="T250" i="12"/>
  <c r="Z250" i="12" s="1"/>
  <c r="U267" i="12"/>
  <c r="AA267" i="12" s="1"/>
  <c r="T266" i="12"/>
  <c r="Z266" i="12" s="1"/>
  <c r="S265" i="12"/>
  <c r="Y265" i="12" s="1"/>
  <c r="S262" i="12"/>
  <c r="Y262" i="12" s="1"/>
  <c r="T267" i="12"/>
  <c r="Z267" i="12" s="1"/>
  <c r="S266" i="12"/>
  <c r="Y266" i="12" s="1"/>
  <c r="U264" i="12"/>
  <c r="AA264" i="12" s="1"/>
  <c r="U262" i="12"/>
  <c r="AA262" i="12" s="1"/>
  <c r="T264" i="12"/>
  <c r="Z264" i="12" s="1"/>
  <c r="S330" i="12"/>
  <c r="Y330" i="12" s="1"/>
  <c r="U328" i="12"/>
  <c r="AA328" i="12" s="1"/>
  <c r="T327" i="12"/>
  <c r="Z327" i="12" s="1"/>
  <c r="U330" i="12"/>
  <c r="AA330" i="12" s="1"/>
  <c r="T329" i="12"/>
  <c r="Z329" i="12" s="1"/>
  <c r="S328" i="12"/>
  <c r="Y328" i="12" s="1"/>
  <c r="U329" i="12"/>
  <c r="AA329" i="12" s="1"/>
  <c r="S325" i="12"/>
  <c r="Y325" i="12" s="1"/>
  <c r="T330" i="12"/>
  <c r="Z330" i="12" s="1"/>
  <c r="S329" i="12"/>
  <c r="Y329" i="12" s="1"/>
  <c r="T328" i="12"/>
  <c r="Z328" i="12" s="1"/>
  <c r="T325" i="12"/>
  <c r="Z325" i="12" s="1"/>
  <c r="U327" i="12"/>
  <c r="AA327" i="12" s="1"/>
  <c r="S327" i="12"/>
  <c r="Y327" i="12" s="1"/>
  <c r="U343" i="12"/>
  <c r="AA343" i="12" s="1"/>
  <c r="T342" i="12"/>
  <c r="Z342" i="12" s="1"/>
  <c r="S341" i="12"/>
  <c r="Y341" i="12" s="1"/>
  <c r="S338" i="12"/>
  <c r="Y338" i="12" s="1"/>
  <c r="T343" i="12"/>
  <c r="Z343" i="12" s="1"/>
  <c r="S342" i="12"/>
  <c r="Y342" i="12" s="1"/>
  <c r="U340" i="12"/>
  <c r="AA340" i="12" s="1"/>
  <c r="S343" i="12"/>
  <c r="Y343" i="12" s="1"/>
  <c r="U341" i="12"/>
  <c r="AA341" i="12" s="1"/>
  <c r="T340" i="12"/>
  <c r="Z340" i="12" s="1"/>
  <c r="U338" i="12"/>
  <c r="AA338" i="12" s="1"/>
  <c r="U342" i="12"/>
  <c r="AA342" i="12" s="1"/>
  <c r="T338" i="12"/>
  <c r="Z338" i="12" s="1"/>
  <c r="T341" i="12"/>
  <c r="Z341" i="12" s="1"/>
  <c r="S340" i="12"/>
  <c r="Y340" i="12" s="1"/>
  <c r="T227" i="12"/>
  <c r="Z227" i="12" s="1"/>
  <c r="S229" i="12"/>
  <c r="Y229" i="12" s="1"/>
  <c r="T230" i="12"/>
  <c r="Z230" i="12" s="1"/>
  <c r="U231" i="12"/>
  <c r="AA231" i="12" s="1"/>
  <c r="S267" i="12"/>
  <c r="Y267" i="12" s="1"/>
  <c r="S274" i="12"/>
  <c r="Y274" i="12" s="1"/>
  <c r="U272" i="12"/>
  <c r="AA272" i="12" s="1"/>
  <c r="T271" i="12"/>
  <c r="Z271" i="12" s="1"/>
  <c r="U269" i="12"/>
  <c r="AA269" i="12" s="1"/>
  <c r="U273" i="12"/>
  <c r="AA273" i="12" s="1"/>
  <c r="T272" i="12"/>
  <c r="Z272" i="12" s="1"/>
  <c r="S271" i="12"/>
  <c r="Y271" i="12" s="1"/>
  <c r="T269" i="12"/>
  <c r="Z269" i="12" s="1"/>
  <c r="AD270" i="12"/>
  <c r="L632" i="29" s="1"/>
  <c r="T273" i="12"/>
  <c r="Z273" i="12" s="1"/>
  <c r="U294" i="12"/>
  <c r="AA294" i="12" s="1"/>
  <c r="T293" i="12"/>
  <c r="Z293" i="12" s="1"/>
  <c r="S292" i="12"/>
  <c r="Y292" i="12" s="1"/>
  <c r="T290" i="12"/>
  <c r="Z290" i="12" s="1"/>
  <c r="U295" i="12"/>
  <c r="AA295" i="12" s="1"/>
  <c r="T294" i="12"/>
  <c r="Z294" i="12" s="1"/>
  <c r="S293" i="12"/>
  <c r="Y293" i="12" s="1"/>
  <c r="S290" i="12"/>
  <c r="Y290" i="12" s="1"/>
  <c r="U293" i="12"/>
  <c r="AA293" i="12" s="1"/>
  <c r="T292" i="12"/>
  <c r="Z292" i="12" s="1"/>
  <c r="U290" i="12"/>
  <c r="AA290" i="12" s="1"/>
  <c r="S294" i="12"/>
  <c r="Y294" i="12" s="1"/>
  <c r="U292" i="12"/>
  <c r="AA292" i="12" s="1"/>
  <c r="T302" i="12"/>
  <c r="Z302" i="12" s="1"/>
  <c r="S301" i="12"/>
  <c r="Y301" i="12" s="1"/>
  <c r="U299" i="12"/>
  <c r="AA299" i="12" s="1"/>
  <c r="S302" i="12"/>
  <c r="Y302" i="12" s="1"/>
  <c r="U300" i="12"/>
  <c r="AA300" i="12" s="1"/>
  <c r="T299" i="12"/>
  <c r="Z299" i="12" s="1"/>
  <c r="U297" i="12"/>
  <c r="AA297" i="12" s="1"/>
  <c r="S299" i="12"/>
  <c r="Y299" i="12" s="1"/>
  <c r="S297" i="12"/>
  <c r="Y297" i="12" s="1"/>
  <c r="T300" i="12"/>
  <c r="Z300" i="12" s="1"/>
  <c r="AF302" i="12"/>
  <c r="U302" i="12"/>
  <c r="AA302" i="12" s="1"/>
  <c r="U227" i="12"/>
  <c r="AA227" i="12" s="1"/>
  <c r="T229" i="12"/>
  <c r="Z229" i="12" s="1"/>
  <c r="U230" i="12"/>
  <c r="AA230" i="12" s="1"/>
  <c r="S232" i="12"/>
  <c r="Y232" i="12" s="1"/>
  <c r="AD242" i="12"/>
  <c r="AD256" i="12"/>
  <c r="L614" i="29" s="1"/>
  <c r="T265" i="12"/>
  <c r="Z265" i="12" s="1"/>
  <c r="U266" i="12"/>
  <c r="AA266" i="12" s="1"/>
  <c r="S272" i="12"/>
  <c r="Y272" i="12" s="1"/>
  <c r="AD276" i="12"/>
  <c r="AA286" i="12"/>
  <c r="S300" i="12"/>
  <c r="Y300" i="12" s="1"/>
  <c r="T301" i="12"/>
  <c r="Z301" i="12" s="1"/>
  <c r="U229" i="12"/>
  <c r="AA229" i="12" s="1"/>
  <c r="S231" i="12"/>
  <c r="Y231" i="12" s="1"/>
  <c r="Y244" i="12"/>
  <c r="Y258" i="12"/>
  <c r="T262" i="12"/>
  <c r="Z262" i="12" s="1"/>
  <c r="S264" i="12"/>
  <c r="Y264" i="12" s="1"/>
  <c r="U265" i="12"/>
  <c r="AA265" i="12" s="1"/>
  <c r="S269" i="12"/>
  <c r="Y269" i="12" s="1"/>
  <c r="U271" i="12"/>
  <c r="AA271" i="12" s="1"/>
  <c r="T274" i="12"/>
  <c r="Z274" i="12" s="1"/>
  <c r="Y287" i="12"/>
  <c r="S295" i="12"/>
  <c r="Y295" i="12" s="1"/>
  <c r="U301" i="12"/>
  <c r="AA301" i="12" s="1"/>
  <c r="AD319" i="12"/>
  <c r="U325" i="12"/>
  <c r="AA325" i="12" s="1"/>
  <c r="T241" i="12"/>
  <c r="Z241" i="12" s="1"/>
  <c r="S243" i="12"/>
  <c r="Y243" i="12" s="1"/>
  <c r="T244" i="12"/>
  <c r="Z244" i="12" s="1"/>
  <c r="U245" i="12"/>
  <c r="AA245" i="12" s="1"/>
  <c r="T255" i="12"/>
  <c r="Z255" i="12" s="1"/>
  <c r="S257" i="12"/>
  <c r="Y257" i="12" s="1"/>
  <c r="T258" i="12"/>
  <c r="Z258" i="12" s="1"/>
  <c r="U259" i="12"/>
  <c r="AA259" i="12" s="1"/>
  <c r="S276" i="12"/>
  <c r="Y276" i="12" s="1"/>
  <c r="U285" i="12"/>
  <c r="AA285" i="12" s="1"/>
  <c r="Y307" i="12"/>
  <c r="S323" i="12"/>
  <c r="Y323" i="12" s="1"/>
  <c r="U321" i="12"/>
  <c r="AA321" i="12" s="1"/>
  <c r="T320" i="12"/>
  <c r="Z320" i="12" s="1"/>
  <c r="U318" i="12"/>
  <c r="AA318" i="12" s="1"/>
  <c r="U322" i="12"/>
  <c r="AA322" i="12" s="1"/>
  <c r="T321" i="12"/>
  <c r="Z321" i="12" s="1"/>
  <c r="S320" i="12"/>
  <c r="Y320" i="12" s="1"/>
  <c r="T318" i="12"/>
  <c r="Z318" i="12" s="1"/>
  <c r="S321" i="12"/>
  <c r="Y321" i="12" s="1"/>
  <c r="U320" i="12"/>
  <c r="AA320" i="12" s="1"/>
  <c r="S318" i="12"/>
  <c r="Y318" i="12" s="1"/>
  <c r="T322" i="12"/>
  <c r="Z322" i="12" s="1"/>
  <c r="S322" i="12"/>
  <c r="Y322" i="12" s="1"/>
  <c r="T323" i="12"/>
  <c r="Z323" i="12" s="1"/>
  <c r="L803" i="29"/>
  <c r="U241" i="12"/>
  <c r="AA241" i="12" s="1"/>
  <c r="T243" i="12"/>
  <c r="Z243" i="12" s="1"/>
  <c r="U244" i="12"/>
  <c r="AA244" i="12" s="1"/>
  <c r="U255" i="12"/>
  <c r="AA255" i="12" s="1"/>
  <c r="T257" i="12"/>
  <c r="Z257" i="12" s="1"/>
  <c r="U258" i="12"/>
  <c r="AA258" i="12" s="1"/>
  <c r="T281" i="12"/>
  <c r="Z281" i="12" s="1"/>
  <c r="S280" i="12"/>
  <c r="Y280" i="12" s="1"/>
  <c r="U278" i="12"/>
  <c r="AA278" i="12" s="1"/>
  <c r="S281" i="12"/>
  <c r="Y281" i="12" s="1"/>
  <c r="U279" i="12"/>
  <c r="AA279" i="12" s="1"/>
  <c r="T278" i="12"/>
  <c r="Z278" i="12" s="1"/>
  <c r="U276" i="12"/>
  <c r="AA276" i="12" s="1"/>
  <c r="T276" i="12"/>
  <c r="Z276" i="12" s="1"/>
  <c r="T280" i="12"/>
  <c r="Z280" i="12" s="1"/>
  <c r="U281" i="12"/>
  <c r="AA281" i="12" s="1"/>
  <c r="U287" i="12"/>
  <c r="AA287" i="12" s="1"/>
  <c r="T286" i="12"/>
  <c r="Z286" i="12" s="1"/>
  <c r="S285" i="12"/>
  <c r="Y285" i="12" s="1"/>
  <c r="T283" i="12"/>
  <c r="Z283" i="12" s="1"/>
  <c r="U288" i="12"/>
  <c r="AA288" i="12" s="1"/>
  <c r="T287" i="12"/>
  <c r="Z287" i="12" s="1"/>
  <c r="S286" i="12"/>
  <c r="Y286" i="12" s="1"/>
  <c r="S283" i="12"/>
  <c r="Y283" i="12" s="1"/>
  <c r="AF288" i="12"/>
  <c r="T288" i="12"/>
  <c r="Z288" i="12" s="1"/>
  <c r="Z308" i="12"/>
  <c r="U323" i="12"/>
  <c r="AA323" i="12" s="1"/>
  <c r="Z309" i="12"/>
  <c r="U316" i="12"/>
  <c r="AA316" i="12" s="1"/>
  <c r="T315" i="12"/>
  <c r="Z315" i="12" s="1"/>
  <c r="S314" i="12"/>
  <c r="Y314" i="12" s="1"/>
  <c r="AE314" i="12" s="1"/>
  <c r="S311" i="12"/>
  <c r="Y311" i="12" s="1"/>
  <c r="T316" i="12"/>
  <c r="Z316" i="12" s="1"/>
  <c r="S315" i="12"/>
  <c r="Y315" i="12" s="1"/>
  <c r="U313" i="12"/>
  <c r="AA313" i="12" s="1"/>
  <c r="U311" i="12"/>
  <c r="AA311" i="12" s="1"/>
  <c r="T313" i="12"/>
  <c r="Z313" i="12" s="1"/>
  <c r="S309" i="12"/>
  <c r="Y309" i="12" s="1"/>
  <c r="U307" i="12"/>
  <c r="AA307" i="12" s="1"/>
  <c r="T306" i="12"/>
  <c r="Z306" i="12" s="1"/>
  <c r="U304" i="12"/>
  <c r="AA304" i="12" s="1"/>
  <c r="U308" i="12"/>
  <c r="AA308" i="12" s="1"/>
  <c r="T307" i="12"/>
  <c r="Z307" i="12" s="1"/>
  <c r="S306" i="12"/>
  <c r="Y306" i="12" s="1"/>
  <c r="T304" i="12"/>
  <c r="Z304" i="12" s="1"/>
  <c r="AD305" i="12"/>
  <c r="S308" i="12"/>
  <c r="Y308" i="12" s="1"/>
  <c r="U309" i="12"/>
  <c r="AA309" i="12" s="1"/>
  <c r="AD325" i="12"/>
  <c r="U337" i="12"/>
  <c r="AA337" i="12" s="1"/>
  <c r="T336" i="12"/>
  <c r="Z336" i="12" s="1"/>
  <c r="S335" i="12"/>
  <c r="Y335" i="12" s="1"/>
  <c r="S332" i="12"/>
  <c r="Y332" i="12" s="1"/>
  <c r="T337" i="12"/>
  <c r="Z337" i="12" s="1"/>
  <c r="S336" i="12"/>
  <c r="Y336" i="12" s="1"/>
  <c r="U334" i="12"/>
  <c r="AA334" i="12" s="1"/>
  <c r="S337" i="12"/>
  <c r="Y337" i="12" s="1"/>
  <c r="U335" i="12"/>
  <c r="AA335" i="12" s="1"/>
  <c r="T334" i="12"/>
  <c r="Z334" i="12" s="1"/>
  <c r="U332" i="12"/>
  <c r="AA332" i="12" s="1"/>
  <c r="S351" i="12"/>
  <c r="Y351" i="12" s="1"/>
  <c r="S354" i="12"/>
  <c r="Y354" i="12" s="1"/>
  <c r="T355" i="12"/>
  <c r="Z355" i="12" s="1"/>
  <c r="U356" i="12"/>
  <c r="AA356" i="12" s="1"/>
  <c r="S357" i="12"/>
  <c r="Y357" i="12" s="1"/>
  <c r="S360" i="12"/>
  <c r="Y360" i="12" s="1"/>
  <c r="T361" i="12"/>
  <c r="Z361" i="12" s="1"/>
  <c r="U362" i="12"/>
  <c r="AA362" i="12" s="1"/>
  <c r="T351" i="12"/>
  <c r="Z351" i="12" s="1"/>
  <c r="S353" i="12"/>
  <c r="Y353" i="12" s="1"/>
  <c r="T354" i="12"/>
  <c r="Z354" i="12" s="1"/>
  <c r="U355" i="12"/>
  <c r="AA355" i="12" s="1"/>
  <c r="T357" i="12"/>
  <c r="Z357" i="12" s="1"/>
  <c r="S359" i="12"/>
  <c r="Y359" i="12" s="1"/>
  <c r="T360" i="12"/>
  <c r="Z360" i="12" s="1"/>
  <c r="U361" i="12"/>
  <c r="AA361" i="12" s="1"/>
  <c r="U351" i="12"/>
  <c r="AA351" i="12" s="1"/>
  <c r="T353" i="12"/>
  <c r="Z353" i="12" s="1"/>
  <c r="U354" i="12"/>
  <c r="AA354" i="12" s="1"/>
  <c r="U357" i="12"/>
  <c r="AA357" i="12" s="1"/>
  <c r="T359" i="12"/>
  <c r="Z359" i="12" s="1"/>
  <c r="U360" i="12"/>
  <c r="AA360" i="12" s="1"/>
  <c r="AG141" i="8"/>
  <c r="L470" i="29" s="1"/>
  <c r="AG140" i="8"/>
  <c r="AD159" i="8"/>
  <c r="AG134" i="8"/>
  <c r="AG133" i="8"/>
  <c r="AG148" i="8"/>
  <c r="AG147" i="8"/>
  <c r="L475" i="29" s="1"/>
  <c r="AD165" i="8"/>
  <c r="AG173" i="8"/>
  <c r="L575" i="29" s="1"/>
  <c r="AD173" i="8"/>
  <c r="AG183" i="8"/>
  <c r="L584" i="29" s="1"/>
  <c r="AG182" i="8"/>
  <c r="AD182" i="8"/>
  <c r="AG208" i="8"/>
  <c r="L617" i="29" s="1"/>
  <c r="AD208" i="8"/>
  <c r="AG166" i="8"/>
  <c r="L545" i="29" s="1"/>
  <c r="AD166" i="8"/>
  <c r="AG155" i="8"/>
  <c r="L482" i="29" s="1"/>
  <c r="AG154" i="8"/>
  <c r="AD145" i="8"/>
  <c r="AD136" i="8"/>
  <c r="AD144" i="8"/>
  <c r="AD140" i="8"/>
  <c r="AD150" i="8"/>
  <c r="AD158" i="8"/>
  <c r="AD154" i="8"/>
  <c r="AD135" i="8"/>
  <c r="AB137" i="8"/>
  <c r="AH137" i="8" s="1"/>
  <c r="AC138" i="8"/>
  <c r="AH138" i="8" s="1"/>
  <c r="AD142" i="8"/>
  <c r="AB144" i="8"/>
  <c r="AC145" i="8"/>
  <c r="AH145" i="8" s="1"/>
  <c r="AD149" i="8"/>
  <c r="AB151" i="8"/>
  <c r="AH151" i="8" s="1"/>
  <c r="AC152" i="8"/>
  <c r="AD156" i="8"/>
  <c r="AB158" i="8"/>
  <c r="AC159" i="8"/>
  <c r="AG161" i="8"/>
  <c r="AB165" i="8"/>
  <c r="AC166" i="8"/>
  <c r="AG168" i="8"/>
  <c r="AB172" i="8"/>
  <c r="AC173" i="8"/>
  <c r="AG175" i="8"/>
  <c r="AI180" i="8" s="1"/>
  <c r="AC179" i="8"/>
  <c r="AD186" i="8"/>
  <c r="AD193" i="8"/>
  <c r="AG201" i="8"/>
  <c r="L611" i="29" s="1"/>
  <c r="AD201" i="8"/>
  <c r="AD221" i="8"/>
  <c r="AG229" i="8"/>
  <c r="L635" i="29" s="1"/>
  <c r="AD229" i="8"/>
  <c r="AD243" i="8"/>
  <c r="AC242" i="8"/>
  <c r="AB241" i="8"/>
  <c r="AB238" i="8"/>
  <c r="AC243" i="8"/>
  <c r="AB242" i="8"/>
  <c r="AD240" i="8"/>
  <c r="AB243" i="8"/>
  <c r="AD241" i="8"/>
  <c r="AC240" i="8"/>
  <c r="AD238" i="8"/>
  <c r="AC238" i="8"/>
  <c r="AI243" i="8"/>
  <c r="AG194" i="8"/>
  <c r="L605" i="29" s="1"/>
  <c r="AD194" i="8"/>
  <c r="AG222" i="8"/>
  <c r="L630" i="29" s="1"/>
  <c r="AD222" i="8"/>
  <c r="AC133" i="8"/>
  <c r="AH133" i="8" s="1"/>
  <c r="AB135" i="8"/>
  <c r="AC136" i="8"/>
  <c r="AC140" i="8"/>
  <c r="AB142" i="8"/>
  <c r="AC143" i="8"/>
  <c r="AH143" i="8" s="1"/>
  <c r="AC147" i="8"/>
  <c r="AH148" i="8" s="1"/>
  <c r="AB149" i="8"/>
  <c r="AC150" i="8"/>
  <c r="AC154" i="8"/>
  <c r="AB156" i="8"/>
  <c r="AC157" i="8"/>
  <c r="AC161" i="8"/>
  <c r="AH161" i="8" s="1"/>
  <c r="AB163" i="8"/>
  <c r="AC164" i="8"/>
  <c r="AH164" i="8" s="1"/>
  <c r="AC168" i="8"/>
  <c r="AB170" i="8"/>
  <c r="AH170" i="8" s="1"/>
  <c r="AC171" i="8"/>
  <c r="AH171" i="8" s="1"/>
  <c r="AD179" i="8"/>
  <c r="AC180" i="8"/>
  <c r="AB179" i="8"/>
  <c r="AC175" i="8"/>
  <c r="AH176" i="8" s="1"/>
  <c r="AB177" i="8"/>
  <c r="AH177" i="8" s="1"/>
  <c r="AC178" i="8"/>
  <c r="AH178" i="8" s="1"/>
  <c r="AD185" i="8"/>
  <c r="AD207" i="8"/>
  <c r="AG215" i="8"/>
  <c r="L623" i="29" s="1"/>
  <c r="AD215" i="8"/>
  <c r="AD236" i="8"/>
  <c r="AC235" i="8"/>
  <c r="AB234" i="8"/>
  <c r="AB231" i="8"/>
  <c r="AC236" i="8"/>
  <c r="AB235" i="8"/>
  <c r="AH235" i="8" s="1"/>
  <c r="AD233" i="8"/>
  <c r="AB236" i="8"/>
  <c r="AD234" i="8"/>
  <c r="AC233" i="8"/>
  <c r="AD231" i="8"/>
  <c r="AC231" i="8"/>
  <c r="AC241" i="8"/>
  <c r="AD242" i="8"/>
  <c r="AD184" i="8"/>
  <c r="AB186" i="8"/>
  <c r="AC187" i="8"/>
  <c r="AH187" i="8" s="1"/>
  <c r="AG189" i="8"/>
  <c r="AD191" i="8"/>
  <c r="AB193" i="8"/>
  <c r="AC194" i="8"/>
  <c r="AG196" i="8"/>
  <c r="AI201" i="8" s="1"/>
  <c r="AD198" i="8"/>
  <c r="AB200" i="8"/>
  <c r="AH200" i="8" s="1"/>
  <c r="AC201" i="8"/>
  <c r="AG203" i="8"/>
  <c r="AI208" i="8" s="1"/>
  <c r="AD205" i="8"/>
  <c r="AB207" i="8"/>
  <c r="AC208" i="8"/>
  <c r="AH208" i="8" s="1"/>
  <c r="AG210" i="8"/>
  <c r="AD212" i="8"/>
  <c r="AB214" i="8"/>
  <c r="AH214" i="8" s="1"/>
  <c r="AC215" i="8"/>
  <c r="AG217" i="8"/>
  <c r="AD219" i="8"/>
  <c r="AB221" i="8"/>
  <c r="AC222" i="8"/>
  <c r="AG224" i="8"/>
  <c r="AI229" i="8" s="1"/>
  <c r="AD226" i="8"/>
  <c r="AB228" i="8"/>
  <c r="AC229" i="8"/>
  <c r="AC182" i="8"/>
  <c r="AB184" i="8"/>
  <c r="AC185" i="8"/>
  <c r="AC189" i="8"/>
  <c r="AH190" i="8" s="1"/>
  <c r="AB191" i="8"/>
  <c r="AC192" i="8"/>
  <c r="AC196" i="8"/>
  <c r="AH197" i="8" s="1"/>
  <c r="AB198" i="8"/>
  <c r="AC199" i="8"/>
  <c r="AH199" i="8" s="1"/>
  <c r="AC203" i="8"/>
  <c r="AH203" i="8" s="1"/>
  <c r="AB205" i="8"/>
  <c r="AC206" i="8"/>
  <c r="AH206" i="8" s="1"/>
  <c r="AC210" i="8"/>
  <c r="AH211" i="8" s="1"/>
  <c r="AB212" i="8"/>
  <c r="AC213" i="8"/>
  <c r="AH213" i="8" s="1"/>
  <c r="AC217" i="8"/>
  <c r="AB219" i="8"/>
  <c r="AC220" i="8"/>
  <c r="AH220" i="8" s="1"/>
  <c r="M628" i="29" s="1"/>
  <c r="AC224" i="8"/>
  <c r="AH225" i="8" s="1"/>
  <c r="AB226" i="8"/>
  <c r="AC227" i="8"/>
  <c r="AG252" i="8"/>
  <c r="L715" i="29" s="1"/>
  <c r="AG253" i="8"/>
  <c r="AC245" i="8"/>
  <c r="AB247" i="8"/>
  <c r="AC248" i="8"/>
  <c r="AD249" i="8"/>
  <c r="AC252" i="8"/>
  <c r="AB254" i="8"/>
  <c r="AC255" i="8"/>
  <c r="AD256" i="8"/>
  <c r="AH256" i="8" s="1"/>
  <c r="AC259" i="8"/>
  <c r="AG260" i="8"/>
  <c r="AI264" i="8" s="1"/>
  <c r="AB261" i="8"/>
  <c r="AC262" i="8"/>
  <c r="AD263" i="8"/>
  <c r="AH263" i="8" s="1"/>
  <c r="AC266" i="8"/>
  <c r="AG267" i="8"/>
  <c r="AI271" i="8" s="1"/>
  <c r="AB268" i="8"/>
  <c r="AC269" i="8"/>
  <c r="AD270" i="8"/>
  <c r="AC273" i="8"/>
  <c r="AG274" i="8"/>
  <c r="AI278" i="8" s="1"/>
  <c r="AB275" i="8"/>
  <c r="AC276" i="8"/>
  <c r="AD277" i="8"/>
  <c r="AC280" i="8"/>
  <c r="AG281" i="8"/>
  <c r="AB282" i="8"/>
  <c r="AC283" i="8"/>
  <c r="AD284" i="8"/>
  <c r="AH284" i="8" s="1"/>
  <c r="M767" i="29" s="1"/>
  <c r="AD245" i="8"/>
  <c r="AC247" i="8"/>
  <c r="AD248" i="8"/>
  <c r="AD252" i="8"/>
  <c r="AC254" i="8"/>
  <c r="AD255" i="8"/>
  <c r="AD259" i="8"/>
  <c r="AC261" i="8"/>
  <c r="AD262" i="8"/>
  <c r="AD266" i="8"/>
  <c r="AC268" i="8"/>
  <c r="AD269" i="8"/>
  <c r="AD273" i="8"/>
  <c r="AC275" i="8"/>
  <c r="AD276" i="8"/>
  <c r="AD280" i="8"/>
  <c r="AC282" i="8"/>
  <c r="AD283" i="8"/>
  <c r="AB285" i="8"/>
  <c r="AC285" i="8"/>
  <c r="L22" i="26"/>
  <c r="L107" i="18"/>
  <c r="L101" i="18"/>
  <c r="L99" i="18"/>
  <c r="L94" i="18"/>
  <c r="L77" i="18"/>
  <c r="L73" i="18"/>
  <c r="L63" i="18"/>
  <c r="L58" i="18"/>
  <c r="L53" i="18"/>
  <c r="L42" i="18"/>
  <c r="L34" i="18"/>
  <c r="L30" i="18"/>
  <c r="L56" i="14"/>
  <c r="L53" i="14"/>
  <c r="L47" i="14"/>
  <c r="L41" i="14"/>
  <c r="J21" i="14"/>
  <c r="J25" i="14"/>
  <c r="M97" i="29" s="1"/>
  <c r="Y17" i="19"/>
  <c r="Y11" i="19"/>
  <c r="Z17" i="19"/>
  <c r="Z11" i="19"/>
  <c r="AB17" i="19" l="1"/>
  <c r="M306" i="29"/>
  <c r="AE305" i="12"/>
  <c r="AB11" i="19"/>
  <c r="AB18" i="19" s="1"/>
  <c r="M305" i="29"/>
  <c r="AA11" i="19"/>
  <c r="L305" i="29"/>
  <c r="AA17" i="19"/>
  <c r="L306" i="29"/>
  <c r="M321" i="29"/>
  <c r="M832" i="29" s="1"/>
  <c r="L31" i="14"/>
  <c r="M93" i="29"/>
  <c r="AH278" i="8"/>
  <c r="AH250" i="8"/>
  <c r="AH264" i="8"/>
  <c r="AE316" i="12"/>
  <c r="M726" i="29" s="1"/>
  <c r="AD344" i="12"/>
  <c r="AF349" i="12" s="1"/>
  <c r="AE315" i="12"/>
  <c r="AD364" i="12"/>
  <c r="L800" i="29" s="1"/>
  <c r="M337" i="29"/>
  <c r="M848" i="29" s="1"/>
  <c r="AH270" i="8"/>
  <c r="AH218" i="8"/>
  <c r="M626" i="29" s="1"/>
  <c r="AH142" i="8"/>
  <c r="AH152" i="8"/>
  <c r="AH150" i="8"/>
  <c r="AH228" i="8"/>
  <c r="AH221" i="8"/>
  <c r="M629" i="29" s="1"/>
  <c r="AH193" i="8"/>
  <c r="AH180" i="8"/>
  <c r="AH157" i="8"/>
  <c r="AH271" i="8"/>
  <c r="AH249" i="8"/>
  <c r="AH192" i="8"/>
  <c r="L697" i="29"/>
  <c r="AH277" i="8"/>
  <c r="AI215" i="8"/>
  <c r="AH274" i="8"/>
  <c r="AH260" i="8"/>
  <c r="AI194" i="8"/>
  <c r="AH155" i="8"/>
  <c r="AH186" i="8"/>
  <c r="AH184" i="8"/>
  <c r="AH257" i="8"/>
  <c r="AH229" i="8"/>
  <c r="AH227" i="8"/>
  <c r="AH222" i="8"/>
  <c r="M630" i="29" s="1"/>
  <c r="AH205" i="8"/>
  <c r="AH207" i="8"/>
  <c r="AH201" i="8"/>
  <c r="AH183" i="8"/>
  <c r="AH169" i="8"/>
  <c r="AH173" i="8"/>
  <c r="AH172" i="8"/>
  <c r="AH253" i="8"/>
  <c r="M716" i="29" s="1"/>
  <c r="AI173" i="8"/>
  <c r="AH283" i="8"/>
  <c r="M766" i="29" s="1"/>
  <c r="AH269" i="8"/>
  <c r="AH255" i="8"/>
  <c r="AH233" i="8"/>
  <c r="AH240" i="8"/>
  <c r="AI145" i="8"/>
  <c r="AH179" i="8"/>
  <c r="AH245" i="8"/>
  <c r="AH243" i="8"/>
  <c r="AI166" i="8"/>
  <c r="AH144" i="8"/>
  <c r="AH281" i="8"/>
  <c r="M764" i="29" s="1"/>
  <c r="AH276" i="8"/>
  <c r="AH163" i="8"/>
  <c r="AH166" i="8"/>
  <c r="AH165" i="8"/>
  <c r="L722" i="29"/>
  <c r="L464" i="29"/>
  <c r="L571" i="29"/>
  <c r="L631" i="29"/>
  <c r="AH246" i="8"/>
  <c r="AH212" i="8"/>
  <c r="AI222" i="8"/>
  <c r="L625" i="29"/>
  <c r="AH236" i="8"/>
  <c r="AH141" i="8"/>
  <c r="AI159" i="8"/>
  <c r="AI138" i="8"/>
  <c r="L619" i="29"/>
  <c r="L583" i="29"/>
  <c r="L613" i="29"/>
  <c r="L601" i="29"/>
  <c r="AI285" i="8"/>
  <c r="L764" i="29"/>
  <c r="AH273" i="8"/>
  <c r="AH259" i="8"/>
  <c r="AH219" i="8"/>
  <c r="M627" i="29" s="1"/>
  <c r="AH191" i="8"/>
  <c r="AH185" i="8"/>
  <c r="AH215" i="8"/>
  <c r="AH194" i="8"/>
  <c r="AH234" i="8"/>
  <c r="L746" i="29"/>
  <c r="L463" i="29"/>
  <c r="AH267" i="8"/>
  <c r="AH262" i="8"/>
  <c r="M724" i="29" s="1"/>
  <c r="AH226" i="8"/>
  <c r="AH198" i="8"/>
  <c r="L607" i="29"/>
  <c r="AH159" i="8"/>
  <c r="AH156" i="8"/>
  <c r="AH158" i="8"/>
  <c r="AH149" i="8"/>
  <c r="AE356" i="12"/>
  <c r="AE368" i="12" s="1"/>
  <c r="M804" i="29" s="1"/>
  <c r="AE336" i="12"/>
  <c r="AE321" i="12"/>
  <c r="AE362" i="12"/>
  <c r="AE206" i="12"/>
  <c r="M487" i="29" s="1"/>
  <c r="AF253" i="12"/>
  <c r="AE300" i="12"/>
  <c r="AE279" i="12"/>
  <c r="AE295" i="12"/>
  <c r="AF225" i="12"/>
  <c r="AE202" i="12"/>
  <c r="M484" i="29" s="1"/>
  <c r="AF211" i="12"/>
  <c r="AE264" i="12"/>
  <c r="AE253" i="12"/>
  <c r="M612" i="29" s="1"/>
  <c r="AE222" i="12"/>
  <c r="M573" i="29" s="1"/>
  <c r="AE190" i="12"/>
  <c r="M474" i="29" s="1"/>
  <c r="AE306" i="12"/>
  <c r="AE204" i="12"/>
  <c r="AE259" i="12"/>
  <c r="M617" i="29" s="1"/>
  <c r="AE245" i="12"/>
  <c r="M605" i="29" s="1"/>
  <c r="AE272" i="12"/>
  <c r="AE231" i="12"/>
  <c r="AE267" i="12"/>
  <c r="M624" i="29" s="1"/>
  <c r="AE216" i="12"/>
  <c r="M544" i="29" s="1"/>
  <c r="AE225" i="12"/>
  <c r="M576" i="29" s="1"/>
  <c r="AE181" i="12"/>
  <c r="AE183" i="12"/>
  <c r="M468" i="29" s="1"/>
  <c r="AE285" i="12"/>
  <c r="M669" i="29" s="1"/>
  <c r="AE232" i="12"/>
  <c r="AE208" i="12"/>
  <c r="M489" i="29" s="1"/>
  <c r="AE308" i="12"/>
  <c r="M719" i="29" s="1"/>
  <c r="AE215" i="12"/>
  <c r="AE334" i="12"/>
  <c r="AF274" i="12"/>
  <c r="AH136" i="8"/>
  <c r="AH135" i="8"/>
  <c r="AF197" i="12"/>
  <c r="L476" i="29"/>
  <c r="AF309" i="12"/>
  <c r="L716" i="29"/>
  <c r="AF323" i="12"/>
  <c r="L740" i="29"/>
  <c r="AF260" i="12"/>
  <c r="AE227" i="12"/>
  <c r="AE343" i="12"/>
  <c r="AE327" i="12"/>
  <c r="AE329" i="12"/>
  <c r="M749" i="29" s="1"/>
  <c r="AE328" i="12"/>
  <c r="AF295" i="12"/>
  <c r="AE260" i="12"/>
  <c r="M618" i="29" s="1"/>
  <c r="AE246" i="12"/>
  <c r="M606" i="29" s="1"/>
  <c r="AE313" i="12"/>
  <c r="AF281" i="12"/>
  <c r="L661" i="29"/>
  <c r="AF246" i="12"/>
  <c r="L602" i="29"/>
  <c r="AE273" i="12"/>
  <c r="M635" i="29" s="1"/>
  <c r="AE340" i="12"/>
  <c r="AE239" i="12"/>
  <c r="M588" i="29" s="1"/>
  <c r="AE209" i="12"/>
  <c r="M490" i="29" s="1"/>
  <c r="AE223" i="12"/>
  <c r="M574" i="29" s="1"/>
  <c r="AF218" i="12"/>
  <c r="L541" i="29"/>
  <c r="AF183" i="12"/>
  <c r="L793" i="29"/>
  <c r="AF330" i="12"/>
  <c r="L745" i="29"/>
  <c r="AE278" i="12"/>
  <c r="AE359" i="12"/>
  <c r="AE353" i="12"/>
  <c r="AE288" i="12"/>
  <c r="M672" i="29" s="1"/>
  <c r="AE281" i="12"/>
  <c r="M666" i="29" s="1"/>
  <c r="AE322" i="12"/>
  <c r="M743" i="29" s="1"/>
  <c r="AE255" i="12"/>
  <c r="M613" i="29" s="1"/>
  <c r="AE241" i="12"/>
  <c r="AE299" i="12"/>
  <c r="AE230" i="12"/>
  <c r="M580" i="29" s="1"/>
  <c r="AF232" i="12"/>
  <c r="L577" i="29"/>
  <c r="AE224" i="12"/>
  <c r="M575" i="29" s="1"/>
  <c r="AE199" i="12"/>
  <c r="AE203" i="12"/>
  <c r="AF190" i="12"/>
  <c r="L469" i="29"/>
  <c r="AF204" i="12"/>
  <c r="L481" i="29"/>
  <c r="AE182" i="12"/>
  <c r="M467" i="29" s="1"/>
  <c r="AE361" i="12"/>
  <c r="AE335" i="12"/>
  <c r="AE309" i="12"/>
  <c r="M720" i="29" s="1"/>
  <c r="AE276" i="12"/>
  <c r="AE277" i="12"/>
  <c r="AE304" i="12"/>
  <c r="AE294" i="12"/>
  <c r="M695" i="29" s="1"/>
  <c r="AE291" i="12"/>
  <c r="AE290" i="12"/>
  <c r="AE271" i="12"/>
  <c r="AE342" i="12"/>
  <c r="AE325" i="12"/>
  <c r="AE326" i="12"/>
  <c r="AE238" i="12"/>
  <c r="M587" i="29" s="1"/>
  <c r="AE250" i="12"/>
  <c r="AE228" i="12"/>
  <c r="AE242" i="12"/>
  <c r="AE214" i="12"/>
  <c r="AE213" i="12"/>
  <c r="M541" i="29" s="1"/>
  <c r="AE196" i="12"/>
  <c r="M479" i="29" s="1"/>
  <c r="AE207" i="12"/>
  <c r="AE355" i="12"/>
  <c r="AE284" i="12"/>
  <c r="M668" i="29" s="1"/>
  <c r="AE283" i="12"/>
  <c r="M667" i="29" s="1"/>
  <c r="AE280" i="12"/>
  <c r="M665" i="29" s="1"/>
  <c r="AE318" i="12"/>
  <c r="AE319" i="12"/>
  <c r="AE320" i="12"/>
  <c r="AE307" i="12"/>
  <c r="M718" i="29" s="1"/>
  <c r="AE287" i="12"/>
  <c r="M671" i="29" s="1"/>
  <c r="AE301" i="12"/>
  <c r="M701" i="29" s="1"/>
  <c r="AE293" i="12"/>
  <c r="AE292" i="12"/>
  <c r="AE229" i="12"/>
  <c r="M579" i="29" s="1"/>
  <c r="AE263" i="12"/>
  <c r="M620" i="29" s="1"/>
  <c r="AE262" i="12"/>
  <c r="AE235" i="12"/>
  <c r="AE234" i="12"/>
  <c r="AE236" i="12"/>
  <c r="M585" i="29" s="1"/>
  <c r="AE249" i="12"/>
  <c r="M608" i="29" s="1"/>
  <c r="AE248" i="12"/>
  <c r="AE221" i="12"/>
  <c r="AE220" i="12"/>
  <c r="AE217" i="12"/>
  <c r="M545" i="29" s="1"/>
  <c r="AE201" i="12"/>
  <c r="AE211" i="12"/>
  <c r="M492" i="29" s="1"/>
  <c r="AE192" i="12"/>
  <c r="AE193" i="12"/>
  <c r="M476" i="29" s="1"/>
  <c r="AE194" i="12"/>
  <c r="AE360" i="12"/>
  <c r="AE354" i="12"/>
  <c r="AE286" i="12"/>
  <c r="M670" i="29" s="1"/>
  <c r="AE269" i="12"/>
  <c r="AE270" i="12"/>
  <c r="M632" i="29" s="1"/>
  <c r="AE258" i="12"/>
  <c r="M616" i="29" s="1"/>
  <c r="AE297" i="12"/>
  <c r="AE298" i="12"/>
  <c r="M698" i="29" s="1"/>
  <c r="AE274" i="12"/>
  <c r="M636" i="29" s="1"/>
  <c r="AE339" i="12"/>
  <c r="AE338" i="12"/>
  <c r="AE265" i="12"/>
  <c r="M622" i="29" s="1"/>
  <c r="AE237" i="12"/>
  <c r="M586" i="29" s="1"/>
  <c r="AE251" i="12"/>
  <c r="M610" i="29" s="1"/>
  <c r="AE218" i="12"/>
  <c r="M546" i="29" s="1"/>
  <c r="AE256" i="12"/>
  <c r="AE188" i="12"/>
  <c r="M472" i="29" s="1"/>
  <c r="AE200" i="12"/>
  <c r="AE178" i="12"/>
  <c r="M463" i="29" s="1"/>
  <c r="AE179" i="12"/>
  <c r="AE357" i="12"/>
  <c r="AE358" i="12"/>
  <c r="AE351" i="12"/>
  <c r="AE352" i="12"/>
  <c r="AE337" i="12"/>
  <c r="AE333" i="12"/>
  <c r="AE332" i="12"/>
  <c r="AE312" i="12"/>
  <c r="M722" i="29" s="1"/>
  <c r="AE311" i="12"/>
  <c r="AE323" i="12"/>
  <c r="M744" i="29" s="1"/>
  <c r="AE257" i="12"/>
  <c r="M615" i="29" s="1"/>
  <c r="AE243" i="12"/>
  <c r="AE244" i="12"/>
  <c r="M604" i="29" s="1"/>
  <c r="AE302" i="12"/>
  <c r="M702" i="29" s="1"/>
  <c r="AE341" i="12"/>
  <c r="AE330" i="12"/>
  <c r="AE266" i="12"/>
  <c r="AE252" i="12"/>
  <c r="M611" i="29" s="1"/>
  <c r="AE186" i="12"/>
  <c r="AE185" i="12"/>
  <c r="AE210" i="12"/>
  <c r="M491" i="29" s="1"/>
  <c r="AE187" i="12"/>
  <c r="AE197" i="12"/>
  <c r="M480" i="29" s="1"/>
  <c r="AE195" i="12"/>
  <c r="M478" i="29" s="1"/>
  <c r="AE189" i="12"/>
  <c r="M473" i="29" s="1"/>
  <c r="AE180" i="12"/>
  <c r="AH285" i="8"/>
  <c r="M768" i="29" s="1"/>
  <c r="AH252" i="8"/>
  <c r="AH217" i="8"/>
  <c r="AH189" i="8"/>
  <c r="AH238" i="8"/>
  <c r="AH239" i="8"/>
  <c r="AH224" i="8"/>
  <c r="AH280" i="8"/>
  <c r="M763" i="29" s="1"/>
  <c r="AH266" i="8"/>
  <c r="AI187" i="8"/>
  <c r="AH162" i="8"/>
  <c r="AH134" i="8"/>
  <c r="AH140" i="8"/>
  <c r="AH231" i="8"/>
  <c r="AH232" i="8"/>
  <c r="AH241" i="8"/>
  <c r="AH196" i="8"/>
  <c r="AH182" i="8"/>
  <c r="AH168" i="8"/>
  <c r="AH261" i="8"/>
  <c r="AH248" i="8"/>
  <c r="AH210" i="8"/>
  <c r="AH242" i="8"/>
  <c r="AH175" i="8"/>
  <c r="AJ180" i="8" s="1"/>
  <c r="AH204" i="8"/>
  <c r="AH147" i="8"/>
  <c r="AH275" i="8"/>
  <c r="AH282" i="8"/>
  <c r="M765" i="29" s="1"/>
  <c r="AH268" i="8"/>
  <c r="AH254" i="8"/>
  <c r="AH247" i="8"/>
  <c r="AI257" i="8"/>
  <c r="AI152" i="8"/>
  <c r="AH154" i="8"/>
  <c r="L136" i="18"/>
  <c r="L70" i="14"/>
  <c r="AA18" i="19" l="1"/>
  <c r="M581" i="29"/>
  <c r="M582" i="29"/>
  <c r="M634" i="29"/>
  <c r="M621" i="29"/>
  <c r="M633" i="29"/>
  <c r="M471" i="29"/>
  <c r="M485" i="29"/>
  <c r="M623" i="29"/>
  <c r="AJ166" i="8"/>
  <c r="M572" i="29"/>
  <c r="M750" i="29"/>
  <c r="M543" i="29"/>
  <c r="M486" i="29"/>
  <c r="M696" i="29"/>
  <c r="M725" i="29"/>
  <c r="AI286" i="8"/>
  <c r="AE346" i="12"/>
  <c r="M795" i="29" s="1"/>
  <c r="AJ152" i="8"/>
  <c r="AJ215" i="8"/>
  <c r="AJ159" i="8"/>
  <c r="AJ278" i="8"/>
  <c r="M746" i="29"/>
  <c r="M693" i="29"/>
  <c r="AJ229" i="8"/>
  <c r="M745" i="29"/>
  <c r="M609" i="29"/>
  <c r="AJ208" i="8"/>
  <c r="AJ194" i="8"/>
  <c r="AJ187" i="8"/>
  <c r="M584" i="29"/>
  <c r="AJ173" i="8"/>
  <c r="M603" i="29"/>
  <c r="M483" i="29"/>
  <c r="M663" i="29"/>
  <c r="M664" i="29"/>
  <c r="AJ236" i="8"/>
  <c r="AJ138" i="8"/>
  <c r="AK138" i="8" s="1"/>
  <c r="M465" i="29"/>
  <c r="M740" i="29"/>
  <c r="M742" i="29"/>
  <c r="AJ250" i="8"/>
  <c r="AJ264" i="8"/>
  <c r="AJ201" i="8"/>
  <c r="AJ145" i="8"/>
  <c r="M470" i="29"/>
  <c r="M697" i="29"/>
  <c r="M748" i="29"/>
  <c r="M469" i="29"/>
  <c r="M607" i="29"/>
  <c r="M691" i="29"/>
  <c r="M662" i="29"/>
  <c r="M699" i="29"/>
  <c r="M619" i="29"/>
  <c r="M694" i="29"/>
  <c r="M741" i="29"/>
  <c r="M692" i="29"/>
  <c r="M661" i="29"/>
  <c r="M601" i="29"/>
  <c r="M723" i="29"/>
  <c r="M577" i="29"/>
  <c r="M700" i="29"/>
  <c r="AJ222" i="8"/>
  <c r="M625" i="29"/>
  <c r="M583" i="29"/>
  <c r="M739" i="29"/>
  <c r="M542" i="29"/>
  <c r="M715" i="29"/>
  <c r="M481" i="29"/>
  <c r="M747" i="29"/>
  <c r="M717" i="29"/>
  <c r="M475" i="29"/>
  <c r="M477" i="29"/>
  <c r="AE348" i="12"/>
  <c r="M797" i="29" s="1"/>
  <c r="AE367" i="12"/>
  <c r="M803" i="29" s="1"/>
  <c r="AE345" i="12"/>
  <c r="M794" i="29" s="1"/>
  <c r="AE349" i="12"/>
  <c r="M798" i="29" s="1"/>
  <c r="AF368" i="12"/>
  <c r="AF369" i="12" s="1"/>
  <c r="M466" i="29"/>
  <c r="AE365" i="12"/>
  <c r="M801" i="29" s="1"/>
  <c r="AE344" i="12"/>
  <c r="M793" i="29" s="1"/>
  <c r="M464" i="29"/>
  <c r="AG204" i="12"/>
  <c r="M482" i="29"/>
  <c r="AE366" i="12"/>
  <c r="M802" i="29" s="1"/>
  <c r="AG211" i="12"/>
  <c r="M488" i="29"/>
  <c r="AG246" i="12"/>
  <c r="M602" i="29"/>
  <c r="AG232" i="12"/>
  <c r="M578" i="29"/>
  <c r="AE364" i="12"/>
  <c r="M800" i="29" s="1"/>
  <c r="AG274" i="12"/>
  <c r="M631" i="29"/>
  <c r="AG316" i="12"/>
  <c r="M721" i="29"/>
  <c r="AE363" i="12"/>
  <c r="AG260" i="12"/>
  <c r="M614" i="29"/>
  <c r="AG225" i="12"/>
  <c r="M571" i="29"/>
  <c r="AG190" i="12"/>
  <c r="AG302" i="12"/>
  <c r="AG323" i="12"/>
  <c r="AG309" i="12"/>
  <c r="AE347" i="12"/>
  <c r="AG253" i="12"/>
  <c r="AG267" i="12"/>
  <c r="AG295" i="12"/>
  <c r="AG197" i="12"/>
  <c r="AG288" i="12"/>
  <c r="AG218" i="12"/>
  <c r="AG330" i="12"/>
  <c r="AG281" i="12"/>
  <c r="AG183" i="12"/>
  <c r="AG239" i="12"/>
  <c r="AJ271" i="8"/>
  <c r="AJ285" i="8"/>
  <c r="AJ243" i="8"/>
  <c r="AJ257" i="8"/>
  <c r="AJ286" i="8" l="1"/>
  <c r="AG368" i="12"/>
  <c r="M799" i="29"/>
  <c r="AG349" i="12"/>
  <c r="M796" i="29"/>
  <c r="L34" i="10"/>
  <c r="AG369" i="12" l="1"/>
  <c r="M57" i="10"/>
  <c r="L57" i="10"/>
  <c r="M56" i="10"/>
  <c r="L56" i="10"/>
  <c r="M55" i="10"/>
  <c r="L55" i="10"/>
  <c r="M54" i="10"/>
  <c r="L54" i="10"/>
  <c r="M53" i="10"/>
  <c r="L53" i="10"/>
  <c r="M52" i="10"/>
  <c r="L52" i="10"/>
  <c r="M51" i="10"/>
  <c r="L51" i="10"/>
  <c r="M50" i="10"/>
  <c r="L50" i="10"/>
  <c r="M49" i="10"/>
  <c r="L49" i="10"/>
  <c r="M48" i="10"/>
  <c r="L48" i="10"/>
  <c r="M47" i="10"/>
  <c r="L47" i="10"/>
  <c r="M46" i="10"/>
  <c r="L46" i="10"/>
  <c r="M45" i="10"/>
  <c r="L45" i="10"/>
  <c r="M44" i="10"/>
  <c r="L44" i="10"/>
  <c r="M43" i="10"/>
  <c r="L43" i="10"/>
  <c r="M42" i="10"/>
  <c r="L42" i="10"/>
  <c r="M41" i="10"/>
  <c r="L41" i="10"/>
  <c r="M40" i="10"/>
  <c r="L40" i="10"/>
  <c r="M39" i="10"/>
  <c r="M63" i="10" s="1"/>
  <c r="L39" i="10"/>
  <c r="L63" i="10" s="1"/>
  <c r="M38" i="10"/>
  <c r="M62" i="10" s="1"/>
  <c r="L38" i="10"/>
  <c r="L62" i="10" s="1"/>
  <c r="M37" i="10"/>
  <c r="L37" i="10"/>
  <c r="L61" i="10" s="1"/>
  <c r="M36" i="10"/>
  <c r="M60" i="10" s="1"/>
  <c r="L36" i="10"/>
  <c r="L60" i="10" s="1"/>
  <c r="M35" i="10"/>
  <c r="M59" i="10" s="1"/>
  <c r="L35" i="10"/>
  <c r="L59" i="10" s="1"/>
  <c r="M34" i="10"/>
  <c r="AA622" i="8"/>
  <c r="Z622" i="8"/>
  <c r="Y622" i="8"/>
  <c r="X622" i="8"/>
  <c r="AG622" i="8" s="1"/>
  <c r="N768" i="29" s="1"/>
  <c r="W622" i="8"/>
  <c r="V622" i="8"/>
  <c r="AA621" i="8"/>
  <c r="Z621" i="8"/>
  <c r="Y621" i="8"/>
  <c r="X621" i="8"/>
  <c r="AG621" i="8" s="1"/>
  <c r="N767" i="29" s="1"/>
  <c r="W621" i="8"/>
  <c r="V621" i="8"/>
  <c r="AA620" i="8"/>
  <c r="Z620" i="8"/>
  <c r="Y620" i="8"/>
  <c r="X620" i="8"/>
  <c r="AG620" i="8" s="1"/>
  <c r="N766" i="29" s="1"/>
  <c r="W620" i="8"/>
  <c r="V620" i="8"/>
  <c r="AA619" i="8"/>
  <c r="Z619" i="8"/>
  <c r="Y619" i="8"/>
  <c r="X619" i="8"/>
  <c r="AG619" i="8" s="1"/>
  <c r="N765" i="29" s="1"/>
  <c r="W619" i="8"/>
  <c r="V619" i="8"/>
  <c r="AA617" i="8"/>
  <c r="Z617" i="8"/>
  <c r="Y617" i="8"/>
  <c r="X617" i="8"/>
  <c r="AG618" i="8" s="1"/>
  <c r="N764" i="29" s="1"/>
  <c r="W617" i="8"/>
  <c r="V617" i="8"/>
  <c r="H617" i="8"/>
  <c r="AA615" i="8"/>
  <c r="Z615" i="8"/>
  <c r="Y615" i="8"/>
  <c r="X615" i="8"/>
  <c r="AG615" i="8" s="1"/>
  <c r="W615" i="8"/>
  <c r="V615" i="8"/>
  <c r="AA614" i="8"/>
  <c r="Z614" i="8"/>
  <c r="Y614" i="8"/>
  <c r="X614" i="8"/>
  <c r="AG614" i="8" s="1"/>
  <c r="W614" i="8"/>
  <c r="V614" i="8"/>
  <c r="AA613" i="8"/>
  <c r="Z613" i="8"/>
  <c r="Y613" i="8"/>
  <c r="X613" i="8"/>
  <c r="AG613" i="8" s="1"/>
  <c r="W613" i="8"/>
  <c r="V613" i="8"/>
  <c r="AA612" i="8"/>
  <c r="Z612" i="8"/>
  <c r="Y612" i="8"/>
  <c r="X612" i="8"/>
  <c r="AG612" i="8" s="1"/>
  <c r="W612" i="8"/>
  <c r="V612" i="8"/>
  <c r="AA610" i="8"/>
  <c r="Z610" i="8"/>
  <c r="Y610" i="8"/>
  <c r="X610" i="8"/>
  <c r="AG610" i="8" s="1"/>
  <c r="W610" i="8"/>
  <c r="V610" i="8"/>
  <c r="H610" i="8"/>
  <c r="AA608" i="8"/>
  <c r="Z608" i="8"/>
  <c r="Y608" i="8"/>
  <c r="X608" i="8"/>
  <c r="AG608" i="8" s="1"/>
  <c r="W608" i="8"/>
  <c r="V608" i="8"/>
  <c r="AA607" i="8"/>
  <c r="Z607" i="8"/>
  <c r="Y607" i="8"/>
  <c r="X607" i="8"/>
  <c r="AG607" i="8" s="1"/>
  <c r="W607" i="8"/>
  <c r="V607" i="8"/>
  <c r="AA606" i="8"/>
  <c r="Z606" i="8"/>
  <c r="Y606" i="8"/>
  <c r="X606" i="8"/>
  <c r="AG606" i="8" s="1"/>
  <c r="W606" i="8"/>
  <c r="V606" i="8"/>
  <c r="AA605" i="8"/>
  <c r="Z605" i="8"/>
  <c r="Y605" i="8"/>
  <c r="X605" i="8"/>
  <c r="AG605" i="8" s="1"/>
  <c r="W605" i="8"/>
  <c r="V605" i="8"/>
  <c r="AA603" i="8"/>
  <c r="Z603" i="8"/>
  <c r="Y603" i="8"/>
  <c r="X603" i="8"/>
  <c r="AG604" i="8" s="1"/>
  <c r="W603" i="8"/>
  <c r="V603" i="8"/>
  <c r="H603" i="8"/>
  <c r="AA601" i="8"/>
  <c r="Z601" i="8"/>
  <c r="Y601" i="8"/>
  <c r="X601" i="8"/>
  <c r="AG601" i="8" s="1"/>
  <c r="W601" i="8"/>
  <c r="V601" i="8"/>
  <c r="AA600" i="8"/>
  <c r="Z600" i="8"/>
  <c r="Y600" i="8"/>
  <c r="X600" i="8"/>
  <c r="AG600" i="8" s="1"/>
  <c r="W600" i="8"/>
  <c r="V600" i="8"/>
  <c r="AA599" i="8"/>
  <c r="Z599" i="8"/>
  <c r="Y599" i="8"/>
  <c r="X599" i="8"/>
  <c r="AG599" i="8" s="1"/>
  <c r="W599" i="8"/>
  <c r="V599" i="8"/>
  <c r="AA598" i="8"/>
  <c r="Z598" i="8"/>
  <c r="Y598" i="8"/>
  <c r="X598" i="8"/>
  <c r="AG598" i="8" s="1"/>
  <c r="W598" i="8"/>
  <c r="V598" i="8"/>
  <c r="AA596" i="8"/>
  <c r="Z596" i="8"/>
  <c r="Y596" i="8"/>
  <c r="X596" i="8"/>
  <c r="AG596" i="8" s="1"/>
  <c r="W596" i="8"/>
  <c r="V596" i="8"/>
  <c r="H596" i="8"/>
  <c r="AA594" i="8"/>
  <c r="Z594" i="8"/>
  <c r="Y594" i="8"/>
  <c r="X594" i="8"/>
  <c r="AG594" i="8" s="1"/>
  <c r="W594" i="8"/>
  <c r="V594" i="8"/>
  <c r="AA593" i="8"/>
  <c r="Z593" i="8"/>
  <c r="Y593" i="8"/>
  <c r="X593" i="8"/>
  <c r="AG593" i="8" s="1"/>
  <c r="W593" i="8"/>
  <c r="V593" i="8"/>
  <c r="AA592" i="8"/>
  <c r="Z592" i="8"/>
  <c r="Y592" i="8"/>
  <c r="X592" i="8"/>
  <c r="AG592" i="8" s="1"/>
  <c r="W592" i="8"/>
  <c r="V592" i="8"/>
  <c r="AA591" i="8"/>
  <c r="Z591" i="8"/>
  <c r="Y591" i="8"/>
  <c r="X591" i="8"/>
  <c r="AG591" i="8" s="1"/>
  <c r="W591" i="8"/>
  <c r="V591" i="8"/>
  <c r="AA589" i="8"/>
  <c r="Z589" i="8"/>
  <c r="Y589" i="8"/>
  <c r="X589" i="8"/>
  <c r="AG590" i="8" s="1"/>
  <c r="W589" i="8"/>
  <c r="V589" i="8"/>
  <c r="H589" i="8"/>
  <c r="AA587" i="8"/>
  <c r="Z587" i="8"/>
  <c r="Y587" i="8"/>
  <c r="X587" i="8"/>
  <c r="AG587" i="8" s="1"/>
  <c r="W587" i="8"/>
  <c r="V587" i="8"/>
  <c r="AA586" i="8"/>
  <c r="Z586" i="8"/>
  <c r="Y586" i="8"/>
  <c r="X586" i="8"/>
  <c r="AG586" i="8" s="1"/>
  <c r="W586" i="8"/>
  <c r="V586" i="8"/>
  <c r="AA585" i="8"/>
  <c r="Z585" i="8"/>
  <c r="Y585" i="8"/>
  <c r="X585" i="8"/>
  <c r="AG585" i="8" s="1"/>
  <c r="W585" i="8"/>
  <c r="V585" i="8"/>
  <c r="AA584" i="8"/>
  <c r="Z584" i="8"/>
  <c r="Y584" i="8"/>
  <c r="X584" i="8"/>
  <c r="AG584" i="8" s="1"/>
  <c r="W584" i="8"/>
  <c r="V584" i="8"/>
  <c r="AA582" i="8"/>
  <c r="Z582" i="8"/>
  <c r="Y582" i="8"/>
  <c r="X582" i="8"/>
  <c r="AG582" i="8" s="1"/>
  <c r="W582" i="8"/>
  <c r="V582" i="8"/>
  <c r="H582" i="8"/>
  <c r="AA580" i="8"/>
  <c r="Z580" i="8"/>
  <c r="Y580" i="8"/>
  <c r="X580" i="8"/>
  <c r="AG580" i="8" s="1"/>
  <c r="W580" i="8"/>
  <c r="V580" i="8"/>
  <c r="AA579" i="8"/>
  <c r="Z579" i="8"/>
  <c r="Y579" i="8"/>
  <c r="X579" i="8"/>
  <c r="AG579" i="8" s="1"/>
  <c r="W579" i="8"/>
  <c r="V579" i="8"/>
  <c r="AA578" i="8"/>
  <c r="Z578" i="8"/>
  <c r="Y578" i="8"/>
  <c r="X578" i="8"/>
  <c r="AG578" i="8" s="1"/>
  <c r="W578" i="8"/>
  <c r="V578" i="8"/>
  <c r="AA577" i="8"/>
  <c r="Z577" i="8"/>
  <c r="Y577" i="8"/>
  <c r="X577" i="8"/>
  <c r="AG577" i="8" s="1"/>
  <c r="W577" i="8"/>
  <c r="V577" i="8"/>
  <c r="AA575" i="8"/>
  <c r="Z575" i="8"/>
  <c r="Y575" i="8"/>
  <c r="X575" i="8"/>
  <c r="AG576" i="8" s="1"/>
  <c r="W575" i="8"/>
  <c r="V575" i="8"/>
  <c r="H575" i="8"/>
  <c r="AA573" i="8"/>
  <c r="Z573" i="8"/>
  <c r="Y573" i="8"/>
  <c r="X573" i="8"/>
  <c r="AG573" i="8" s="1"/>
  <c r="W573" i="8"/>
  <c r="V573" i="8"/>
  <c r="AA572" i="8"/>
  <c r="Z572" i="8"/>
  <c r="Y572" i="8"/>
  <c r="X572" i="8"/>
  <c r="AG572" i="8" s="1"/>
  <c r="W572" i="8"/>
  <c r="V572" i="8"/>
  <c r="AA571" i="8"/>
  <c r="Z571" i="8"/>
  <c r="Y571" i="8"/>
  <c r="X571" i="8"/>
  <c r="AG571" i="8" s="1"/>
  <c r="W571" i="8"/>
  <c r="V571" i="8"/>
  <c r="AA570" i="8"/>
  <c r="Z570" i="8"/>
  <c r="Y570" i="8"/>
  <c r="X570" i="8"/>
  <c r="AG570" i="8" s="1"/>
  <c r="W570" i="8"/>
  <c r="V570" i="8"/>
  <c r="AA568" i="8"/>
  <c r="Z568" i="8"/>
  <c r="Y568" i="8"/>
  <c r="X568" i="8"/>
  <c r="AG568" i="8" s="1"/>
  <c r="W568" i="8"/>
  <c r="V568" i="8"/>
  <c r="H568" i="8"/>
  <c r="AA566" i="8"/>
  <c r="Z566" i="8"/>
  <c r="Y566" i="8"/>
  <c r="X566" i="8"/>
  <c r="AG566" i="8" s="1"/>
  <c r="W566" i="8"/>
  <c r="V566" i="8"/>
  <c r="AA565" i="8"/>
  <c r="Z565" i="8"/>
  <c r="Y565" i="8"/>
  <c r="X565" i="8"/>
  <c r="AG565" i="8" s="1"/>
  <c r="W565" i="8"/>
  <c r="V565" i="8"/>
  <c r="AA564" i="8"/>
  <c r="Z564" i="8"/>
  <c r="Y564" i="8"/>
  <c r="X564" i="8"/>
  <c r="AG564" i="8" s="1"/>
  <c r="W564" i="8"/>
  <c r="V564" i="8"/>
  <c r="AA563" i="8"/>
  <c r="Z563" i="8"/>
  <c r="Y563" i="8"/>
  <c r="X563" i="8"/>
  <c r="AG563" i="8" s="1"/>
  <c r="W563" i="8"/>
  <c r="V563" i="8"/>
  <c r="AA561" i="8"/>
  <c r="Z561" i="8"/>
  <c r="Y561" i="8"/>
  <c r="X561" i="8"/>
  <c r="AG562" i="8" s="1"/>
  <c r="W561" i="8"/>
  <c r="V561" i="8"/>
  <c r="H561" i="8"/>
  <c r="AA559" i="8"/>
  <c r="Z559" i="8"/>
  <c r="Y559" i="8"/>
  <c r="X559" i="8"/>
  <c r="AG559" i="8" s="1"/>
  <c r="W559" i="8"/>
  <c r="V559" i="8"/>
  <c r="AA558" i="8"/>
  <c r="Z558" i="8"/>
  <c r="Y558" i="8"/>
  <c r="X558" i="8"/>
  <c r="AG558" i="8" s="1"/>
  <c r="W558" i="8"/>
  <c r="V558" i="8"/>
  <c r="AA557" i="8"/>
  <c r="Z557" i="8"/>
  <c r="Y557" i="8"/>
  <c r="X557" i="8"/>
  <c r="AG557" i="8" s="1"/>
  <c r="W557" i="8"/>
  <c r="V557" i="8"/>
  <c r="AA556" i="8"/>
  <c r="Z556" i="8"/>
  <c r="Y556" i="8"/>
  <c r="X556" i="8"/>
  <c r="AG556" i="8" s="1"/>
  <c r="W556" i="8"/>
  <c r="V556" i="8"/>
  <c r="AA554" i="8"/>
  <c r="Z554" i="8"/>
  <c r="Y554" i="8"/>
  <c r="X554" i="8"/>
  <c r="AG554" i="8" s="1"/>
  <c r="W554" i="8"/>
  <c r="V554" i="8"/>
  <c r="H554" i="8"/>
  <c r="AA552" i="8"/>
  <c r="Z552" i="8"/>
  <c r="Y552" i="8"/>
  <c r="X552" i="8"/>
  <c r="AG552" i="8" s="1"/>
  <c r="W552" i="8"/>
  <c r="V552" i="8"/>
  <c r="AA551" i="8"/>
  <c r="Z551" i="8"/>
  <c r="Y551" i="8"/>
  <c r="X551" i="8"/>
  <c r="AG551" i="8" s="1"/>
  <c r="W551" i="8"/>
  <c r="V551" i="8"/>
  <c r="AA550" i="8"/>
  <c r="Z550" i="8"/>
  <c r="Y550" i="8"/>
  <c r="X550" i="8"/>
  <c r="AG550" i="8" s="1"/>
  <c r="W550" i="8"/>
  <c r="V550" i="8"/>
  <c r="AA549" i="8"/>
  <c r="Z549" i="8"/>
  <c r="Y549" i="8"/>
  <c r="X549" i="8"/>
  <c r="AG549" i="8" s="1"/>
  <c r="W549" i="8"/>
  <c r="V549" i="8"/>
  <c r="AA547" i="8"/>
  <c r="Z547" i="8"/>
  <c r="Y547" i="8"/>
  <c r="X547" i="8"/>
  <c r="AG548" i="8" s="1"/>
  <c r="W547" i="8"/>
  <c r="V547" i="8"/>
  <c r="H547" i="8"/>
  <c r="AA545" i="8"/>
  <c r="Z545" i="8"/>
  <c r="Y545" i="8"/>
  <c r="X545" i="8"/>
  <c r="AG545" i="8" s="1"/>
  <c r="W545" i="8"/>
  <c r="V545" i="8"/>
  <c r="AA544" i="8"/>
  <c r="Z544" i="8"/>
  <c r="Y544" i="8"/>
  <c r="X544" i="8"/>
  <c r="AG544" i="8" s="1"/>
  <c r="W544" i="8"/>
  <c r="V544" i="8"/>
  <c r="AA543" i="8"/>
  <c r="Z543" i="8"/>
  <c r="Y543" i="8"/>
  <c r="X543" i="8"/>
  <c r="AG543" i="8" s="1"/>
  <c r="W543" i="8"/>
  <c r="V543" i="8"/>
  <c r="AA542" i="8"/>
  <c r="Z542" i="8"/>
  <c r="Y542" i="8"/>
  <c r="X542" i="8"/>
  <c r="AG542" i="8" s="1"/>
  <c r="W542" i="8"/>
  <c r="V542" i="8"/>
  <c r="AA540" i="8"/>
  <c r="Z540" i="8"/>
  <c r="Y540" i="8"/>
  <c r="X540" i="8"/>
  <c r="AG540" i="8" s="1"/>
  <c r="W540" i="8"/>
  <c r="V540" i="8"/>
  <c r="H540" i="8"/>
  <c r="AA538" i="8"/>
  <c r="Z538" i="8"/>
  <c r="Y538" i="8"/>
  <c r="X538" i="8"/>
  <c r="AG538" i="8" s="1"/>
  <c r="W538" i="8"/>
  <c r="V538" i="8"/>
  <c r="AA537" i="8"/>
  <c r="Z537" i="8"/>
  <c r="Y537" i="8"/>
  <c r="X537" i="8"/>
  <c r="AG537" i="8" s="1"/>
  <c r="W537" i="8"/>
  <c r="V537" i="8"/>
  <c r="AA536" i="8"/>
  <c r="Z536" i="8"/>
  <c r="Y536" i="8"/>
  <c r="X536" i="8"/>
  <c r="AG536" i="8" s="1"/>
  <c r="W536" i="8"/>
  <c r="V536" i="8"/>
  <c r="AA535" i="8"/>
  <c r="Z535" i="8"/>
  <c r="Y535" i="8"/>
  <c r="X535" i="8"/>
  <c r="AG535" i="8" s="1"/>
  <c r="W535" i="8"/>
  <c r="V535" i="8"/>
  <c r="AA533" i="8"/>
  <c r="Z533" i="8"/>
  <c r="Y533" i="8"/>
  <c r="X533" i="8"/>
  <c r="AG534" i="8" s="1"/>
  <c r="W533" i="8"/>
  <c r="V533" i="8"/>
  <c r="H533" i="8"/>
  <c r="AA531" i="8"/>
  <c r="Z531" i="8"/>
  <c r="Y531" i="8"/>
  <c r="X531" i="8"/>
  <c r="AG531" i="8" s="1"/>
  <c r="W531" i="8"/>
  <c r="V531" i="8"/>
  <c r="AA530" i="8"/>
  <c r="Z530" i="8"/>
  <c r="Y530" i="8"/>
  <c r="X530" i="8"/>
  <c r="AG530" i="8" s="1"/>
  <c r="W530" i="8"/>
  <c r="V530" i="8"/>
  <c r="AA529" i="8"/>
  <c r="Z529" i="8"/>
  <c r="Y529" i="8"/>
  <c r="X529" i="8"/>
  <c r="AG529" i="8" s="1"/>
  <c r="W529" i="8"/>
  <c r="V529" i="8"/>
  <c r="AA528" i="8"/>
  <c r="Z528" i="8"/>
  <c r="Y528" i="8"/>
  <c r="X528" i="8"/>
  <c r="AG528" i="8" s="1"/>
  <c r="W528" i="8"/>
  <c r="V528" i="8"/>
  <c r="AA526" i="8"/>
  <c r="Z526" i="8"/>
  <c r="Y526" i="8"/>
  <c r="X526" i="8"/>
  <c r="W526" i="8"/>
  <c r="V526" i="8"/>
  <c r="H526" i="8"/>
  <c r="AA524" i="8"/>
  <c r="Z524" i="8"/>
  <c r="Y524" i="8"/>
  <c r="X524" i="8"/>
  <c r="AG524" i="8" s="1"/>
  <c r="W524" i="8"/>
  <c r="V524" i="8"/>
  <c r="AA523" i="8"/>
  <c r="Z523" i="8"/>
  <c r="Y523" i="8"/>
  <c r="X523" i="8"/>
  <c r="AG523" i="8" s="1"/>
  <c r="W523" i="8"/>
  <c r="V523" i="8"/>
  <c r="AA522" i="8"/>
  <c r="Z522" i="8"/>
  <c r="Y522" i="8"/>
  <c r="X522" i="8"/>
  <c r="AG522" i="8" s="1"/>
  <c r="W522" i="8"/>
  <c r="V522" i="8"/>
  <c r="AA521" i="8"/>
  <c r="Z521" i="8"/>
  <c r="Y521" i="8"/>
  <c r="X521" i="8"/>
  <c r="AG521" i="8" s="1"/>
  <c r="W521" i="8"/>
  <c r="V521" i="8"/>
  <c r="AA519" i="8"/>
  <c r="Z519" i="8"/>
  <c r="Y519" i="8"/>
  <c r="X519" i="8"/>
  <c r="AG520" i="8" s="1"/>
  <c r="W519" i="8"/>
  <c r="V519" i="8"/>
  <c r="H519" i="8"/>
  <c r="AA517" i="8"/>
  <c r="Z517" i="8"/>
  <c r="Y517" i="8"/>
  <c r="X517" i="8"/>
  <c r="AG517" i="8" s="1"/>
  <c r="W517" i="8"/>
  <c r="V517" i="8"/>
  <c r="AA516" i="8"/>
  <c r="Z516" i="8"/>
  <c r="Y516" i="8"/>
  <c r="X516" i="8"/>
  <c r="AG516" i="8" s="1"/>
  <c r="W516" i="8"/>
  <c r="V516" i="8"/>
  <c r="AA515" i="8"/>
  <c r="Z515" i="8"/>
  <c r="Y515" i="8"/>
  <c r="X515" i="8"/>
  <c r="AG515" i="8" s="1"/>
  <c r="W515" i="8"/>
  <c r="V515" i="8"/>
  <c r="AA514" i="8"/>
  <c r="Z514" i="8"/>
  <c r="Y514" i="8"/>
  <c r="X514" i="8"/>
  <c r="AG514" i="8" s="1"/>
  <c r="W514" i="8"/>
  <c r="V514" i="8"/>
  <c r="AA512" i="8"/>
  <c r="Z512" i="8"/>
  <c r="Y512" i="8"/>
  <c r="X512" i="8"/>
  <c r="W512" i="8"/>
  <c r="V512" i="8"/>
  <c r="H512" i="8"/>
  <c r="AA510" i="8"/>
  <c r="Z510" i="8"/>
  <c r="Y510" i="8"/>
  <c r="X510" i="8"/>
  <c r="AG510" i="8" s="1"/>
  <c r="W510" i="8"/>
  <c r="V510" i="8"/>
  <c r="AA509" i="8"/>
  <c r="Z509" i="8"/>
  <c r="Y509" i="8"/>
  <c r="X509" i="8"/>
  <c r="AG509" i="8" s="1"/>
  <c r="W509" i="8"/>
  <c r="V509" i="8"/>
  <c r="AA508" i="8"/>
  <c r="Z508" i="8"/>
  <c r="Y508" i="8"/>
  <c r="X508" i="8"/>
  <c r="AG508" i="8" s="1"/>
  <c r="W508" i="8"/>
  <c r="V508" i="8"/>
  <c r="AA507" i="8"/>
  <c r="Z507" i="8"/>
  <c r="Y507" i="8"/>
  <c r="X507" i="8"/>
  <c r="AG507" i="8" s="1"/>
  <c r="W507" i="8"/>
  <c r="V507" i="8"/>
  <c r="AA505" i="8"/>
  <c r="Z505" i="8"/>
  <c r="Y505" i="8"/>
  <c r="X505" i="8"/>
  <c r="AG506" i="8" s="1"/>
  <c r="W505" i="8"/>
  <c r="V505" i="8"/>
  <c r="H505" i="8"/>
  <c r="AA503" i="8"/>
  <c r="Z503" i="8"/>
  <c r="Y503" i="8"/>
  <c r="X503" i="8"/>
  <c r="AG503" i="8" s="1"/>
  <c r="W503" i="8"/>
  <c r="V503" i="8"/>
  <c r="AA502" i="8"/>
  <c r="Z502" i="8"/>
  <c r="Y502" i="8"/>
  <c r="X502" i="8"/>
  <c r="AG502" i="8" s="1"/>
  <c r="W502" i="8"/>
  <c r="V502" i="8"/>
  <c r="AA501" i="8"/>
  <c r="Z501" i="8"/>
  <c r="Y501" i="8"/>
  <c r="X501" i="8"/>
  <c r="AG501" i="8" s="1"/>
  <c r="W501" i="8"/>
  <c r="V501" i="8"/>
  <c r="AA500" i="8"/>
  <c r="Z500" i="8"/>
  <c r="Y500" i="8"/>
  <c r="X500" i="8"/>
  <c r="AG500" i="8" s="1"/>
  <c r="W500" i="8"/>
  <c r="V500" i="8"/>
  <c r="AA498" i="8"/>
  <c r="Z498" i="8"/>
  <c r="Y498" i="8"/>
  <c r="X498" i="8"/>
  <c r="W498" i="8"/>
  <c r="V498" i="8"/>
  <c r="H498" i="8"/>
  <c r="AA496" i="8"/>
  <c r="Z496" i="8"/>
  <c r="Y496" i="8"/>
  <c r="X496" i="8"/>
  <c r="AG496" i="8" s="1"/>
  <c r="W496" i="8"/>
  <c r="V496" i="8"/>
  <c r="AA495" i="8"/>
  <c r="Z495" i="8"/>
  <c r="Y495" i="8"/>
  <c r="X495" i="8"/>
  <c r="AG495" i="8" s="1"/>
  <c r="W495" i="8"/>
  <c r="V495" i="8"/>
  <c r="AA494" i="8"/>
  <c r="Z494" i="8"/>
  <c r="Y494" i="8"/>
  <c r="X494" i="8"/>
  <c r="AG494" i="8" s="1"/>
  <c r="W494" i="8"/>
  <c r="V494" i="8"/>
  <c r="AA493" i="8"/>
  <c r="Z493" i="8"/>
  <c r="Y493" i="8"/>
  <c r="X493" i="8"/>
  <c r="AG493" i="8" s="1"/>
  <c r="W493" i="8"/>
  <c r="V493" i="8"/>
  <c r="AA491" i="8"/>
  <c r="Z491" i="8"/>
  <c r="Y491" i="8"/>
  <c r="X491" i="8"/>
  <c r="AG492" i="8" s="1"/>
  <c r="W491" i="8"/>
  <c r="V491" i="8"/>
  <c r="H491" i="8"/>
  <c r="AA489" i="8"/>
  <c r="Z489" i="8"/>
  <c r="Y489" i="8"/>
  <c r="X489" i="8"/>
  <c r="AG489" i="8" s="1"/>
  <c r="W489" i="8"/>
  <c r="V489" i="8"/>
  <c r="AA488" i="8"/>
  <c r="Z488" i="8"/>
  <c r="Y488" i="8"/>
  <c r="X488" i="8"/>
  <c r="AG488" i="8" s="1"/>
  <c r="W488" i="8"/>
  <c r="V488" i="8"/>
  <c r="AA487" i="8"/>
  <c r="Z487" i="8"/>
  <c r="Y487" i="8"/>
  <c r="X487" i="8"/>
  <c r="AG487" i="8" s="1"/>
  <c r="W487" i="8"/>
  <c r="V487" i="8"/>
  <c r="AA486" i="8"/>
  <c r="Z486" i="8"/>
  <c r="Y486" i="8"/>
  <c r="X486" i="8"/>
  <c r="AG486" i="8" s="1"/>
  <c r="W486" i="8"/>
  <c r="V486" i="8"/>
  <c r="AA484" i="8"/>
  <c r="Z484" i="8"/>
  <c r="Y484" i="8"/>
  <c r="X484" i="8"/>
  <c r="W484" i="8"/>
  <c r="V484" i="8"/>
  <c r="H484" i="8"/>
  <c r="AA482" i="8"/>
  <c r="Z482" i="8"/>
  <c r="Y482" i="8"/>
  <c r="X482" i="8"/>
  <c r="AG482" i="8" s="1"/>
  <c r="W482" i="8"/>
  <c r="V482" i="8"/>
  <c r="AA481" i="8"/>
  <c r="Z481" i="8"/>
  <c r="Y481" i="8"/>
  <c r="X481" i="8"/>
  <c r="AG481" i="8" s="1"/>
  <c r="W481" i="8"/>
  <c r="V481" i="8"/>
  <c r="AA480" i="8"/>
  <c r="Z480" i="8"/>
  <c r="Y480" i="8"/>
  <c r="X480" i="8"/>
  <c r="AG480" i="8" s="1"/>
  <c r="W480" i="8"/>
  <c r="V480" i="8"/>
  <c r="AA479" i="8"/>
  <c r="Z479" i="8"/>
  <c r="Y479" i="8"/>
  <c r="X479" i="8"/>
  <c r="AG479" i="8" s="1"/>
  <c r="W479" i="8"/>
  <c r="V479" i="8"/>
  <c r="AA477" i="8"/>
  <c r="Z477" i="8"/>
  <c r="Y477" i="8"/>
  <c r="X477" i="8"/>
  <c r="AG478" i="8" s="1"/>
  <c r="W477" i="8"/>
  <c r="V477" i="8"/>
  <c r="H477" i="8"/>
  <c r="AA475" i="8"/>
  <c r="Z475" i="8"/>
  <c r="Y475" i="8"/>
  <c r="X475" i="8"/>
  <c r="AG475" i="8" s="1"/>
  <c r="W475" i="8"/>
  <c r="V475" i="8"/>
  <c r="AA474" i="8"/>
  <c r="Z474" i="8"/>
  <c r="Y474" i="8"/>
  <c r="X474" i="8"/>
  <c r="AG474" i="8" s="1"/>
  <c r="W474" i="8"/>
  <c r="V474" i="8"/>
  <c r="AA473" i="8"/>
  <c r="Z473" i="8"/>
  <c r="Y473" i="8"/>
  <c r="X473" i="8"/>
  <c r="AG473" i="8" s="1"/>
  <c r="W473" i="8"/>
  <c r="V473" i="8"/>
  <c r="AA472" i="8"/>
  <c r="Z472" i="8"/>
  <c r="Y472" i="8"/>
  <c r="X472" i="8"/>
  <c r="AG472" i="8" s="1"/>
  <c r="W472" i="8"/>
  <c r="V472" i="8"/>
  <c r="AA470" i="8"/>
  <c r="Z470" i="8"/>
  <c r="Y470" i="8"/>
  <c r="X470" i="8"/>
  <c r="W470" i="8"/>
  <c r="V470" i="8"/>
  <c r="H470" i="8"/>
  <c r="AA468" i="8"/>
  <c r="Z468" i="8"/>
  <c r="Y468" i="8"/>
  <c r="X468" i="8"/>
  <c r="AG468" i="8" s="1"/>
  <c r="W468" i="8"/>
  <c r="V468" i="8"/>
  <c r="AA467" i="8"/>
  <c r="Z467" i="8"/>
  <c r="Y467" i="8"/>
  <c r="X467" i="8"/>
  <c r="AG467" i="8" s="1"/>
  <c r="W467" i="8"/>
  <c r="V467" i="8"/>
  <c r="AA466" i="8"/>
  <c r="Z466" i="8"/>
  <c r="Y466" i="8"/>
  <c r="X466" i="8"/>
  <c r="AG466" i="8" s="1"/>
  <c r="W466" i="8"/>
  <c r="V466" i="8"/>
  <c r="AA465" i="8"/>
  <c r="Z465" i="8"/>
  <c r="Y465" i="8"/>
  <c r="X465" i="8"/>
  <c r="AG465" i="8" s="1"/>
  <c r="W465" i="8"/>
  <c r="V465" i="8"/>
  <c r="AA463" i="8"/>
  <c r="Z463" i="8"/>
  <c r="Y463" i="8"/>
  <c r="X463" i="8"/>
  <c r="W463" i="8"/>
  <c r="V463" i="8"/>
  <c r="H463" i="8"/>
  <c r="AA461" i="8"/>
  <c r="Z461" i="8"/>
  <c r="Y461" i="8"/>
  <c r="X461" i="8"/>
  <c r="W461" i="8"/>
  <c r="V461" i="8"/>
  <c r="AA460" i="8"/>
  <c r="Z460" i="8"/>
  <c r="Y460" i="8"/>
  <c r="X460" i="8"/>
  <c r="AG460" i="8" s="1"/>
  <c r="N629" i="29" s="1"/>
  <c r="W460" i="8"/>
  <c r="V460" i="8"/>
  <c r="AA459" i="8"/>
  <c r="Z459" i="8"/>
  <c r="Y459" i="8"/>
  <c r="X459" i="8"/>
  <c r="AG459" i="8" s="1"/>
  <c r="N628" i="29" s="1"/>
  <c r="W459" i="8"/>
  <c r="V459" i="8"/>
  <c r="AA458" i="8"/>
  <c r="Z458" i="8"/>
  <c r="Y458" i="8"/>
  <c r="X458" i="8"/>
  <c r="AG458" i="8" s="1"/>
  <c r="N627" i="29" s="1"/>
  <c r="W458" i="8"/>
  <c r="V458" i="8"/>
  <c r="AA456" i="8"/>
  <c r="Z456" i="8"/>
  <c r="Y456" i="8"/>
  <c r="X456" i="8"/>
  <c r="AG457" i="8" s="1"/>
  <c r="N626" i="29" s="1"/>
  <c r="W456" i="8"/>
  <c r="V456" i="8"/>
  <c r="H456" i="8"/>
  <c r="AA454" i="8"/>
  <c r="Z454" i="8"/>
  <c r="Y454" i="8"/>
  <c r="X454" i="8"/>
  <c r="AG454" i="8" s="1"/>
  <c r="W454" i="8"/>
  <c r="V454" i="8"/>
  <c r="AA453" i="8"/>
  <c r="Z453" i="8"/>
  <c r="Y453" i="8"/>
  <c r="X453" i="8"/>
  <c r="AG453" i="8" s="1"/>
  <c r="W453" i="8"/>
  <c r="V453" i="8"/>
  <c r="AA452" i="8"/>
  <c r="Z452" i="8"/>
  <c r="Y452" i="8"/>
  <c r="X452" i="8"/>
  <c r="W452" i="8"/>
  <c r="V452" i="8"/>
  <c r="AA451" i="8"/>
  <c r="Z451" i="8"/>
  <c r="Y451" i="8"/>
  <c r="X451" i="8"/>
  <c r="AG451" i="8" s="1"/>
  <c r="W451" i="8"/>
  <c r="V451" i="8"/>
  <c r="AA449" i="8"/>
  <c r="Z449" i="8"/>
  <c r="Y449" i="8"/>
  <c r="X449" i="8"/>
  <c r="W449" i="8"/>
  <c r="V449" i="8"/>
  <c r="H449" i="8"/>
  <c r="AA447" i="8"/>
  <c r="Z447" i="8"/>
  <c r="Y447" i="8"/>
  <c r="X447" i="8"/>
  <c r="W447" i="8"/>
  <c r="V447" i="8"/>
  <c r="AA446" i="8"/>
  <c r="Z446" i="8"/>
  <c r="Y446" i="8"/>
  <c r="X446" i="8"/>
  <c r="AG446" i="8" s="1"/>
  <c r="W446" i="8"/>
  <c r="V446" i="8"/>
  <c r="AA445" i="8"/>
  <c r="Z445" i="8"/>
  <c r="Y445" i="8"/>
  <c r="X445" i="8"/>
  <c r="AG445" i="8" s="1"/>
  <c r="W445" i="8"/>
  <c r="V445" i="8"/>
  <c r="AA444" i="8"/>
  <c r="Z444" i="8"/>
  <c r="Y444" i="8"/>
  <c r="X444" i="8"/>
  <c r="AG444" i="8" s="1"/>
  <c r="W444" i="8"/>
  <c r="V444" i="8"/>
  <c r="AA442" i="8"/>
  <c r="Z442" i="8"/>
  <c r="Y442" i="8"/>
  <c r="X442" i="8"/>
  <c r="AG443" i="8" s="1"/>
  <c r="W442" i="8"/>
  <c r="V442" i="8"/>
  <c r="H442" i="8"/>
  <c r="AA440" i="8"/>
  <c r="Z440" i="8"/>
  <c r="Y440" i="8"/>
  <c r="X440" i="8"/>
  <c r="AG440" i="8" s="1"/>
  <c r="W440" i="8"/>
  <c r="V440" i="8"/>
  <c r="AA439" i="8"/>
  <c r="Z439" i="8"/>
  <c r="Y439" i="8"/>
  <c r="X439" i="8"/>
  <c r="AG439" i="8" s="1"/>
  <c r="W439" i="8"/>
  <c r="V439" i="8"/>
  <c r="AA438" i="8"/>
  <c r="Z438" i="8"/>
  <c r="Y438" i="8"/>
  <c r="X438" i="8"/>
  <c r="W438" i="8"/>
  <c r="V438" i="8"/>
  <c r="AA437" i="8"/>
  <c r="Z437" i="8"/>
  <c r="Y437" i="8"/>
  <c r="X437" i="8"/>
  <c r="AG437" i="8" s="1"/>
  <c r="W437" i="8"/>
  <c r="V437" i="8"/>
  <c r="AA435" i="8"/>
  <c r="Z435" i="8"/>
  <c r="Y435" i="8"/>
  <c r="X435" i="8"/>
  <c r="W435" i="8"/>
  <c r="V435" i="8"/>
  <c r="H435" i="8"/>
  <c r="AA433" i="8"/>
  <c r="Z433" i="8"/>
  <c r="Y433" i="8"/>
  <c r="X433" i="8"/>
  <c r="W433" i="8"/>
  <c r="V433" i="8"/>
  <c r="AA432" i="8"/>
  <c r="Z432" i="8"/>
  <c r="Y432" i="8"/>
  <c r="X432" i="8"/>
  <c r="AG432" i="8" s="1"/>
  <c r="W432" i="8"/>
  <c r="V432" i="8"/>
  <c r="AA431" i="8"/>
  <c r="Z431" i="8"/>
  <c r="Y431" i="8"/>
  <c r="X431" i="8"/>
  <c r="AG431" i="8" s="1"/>
  <c r="W431" i="8"/>
  <c r="V431" i="8"/>
  <c r="AA430" i="8"/>
  <c r="Z430" i="8"/>
  <c r="Y430" i="8"/>
  <c r="X430" i="8"/>
  <c r="AG430" i="8" s="1"/>
  <c r="W430" i="8"/>
  <c r="V430" i="8"/>
  <c r="AA428" i="8"/>
  <c r="Z428" i="8"/>
  <c r="Y428" i="8"/>
  <c r="X428" i="8"/>
  <c r="AG429" i="8" s="1"/>
  <c r="W428" i="8"/>
  <c r="V428" i="8"/>
  <c r="H428" i="8"/>
  <c r="AA426" i="8"/>
  <c r="Z426" i="8"/>
  <c r="Y426" i="8"/>
  <c r="X426" i="8"/>
  <c r="AG426" i="8" s="1"/>
  <c r="W426" i="8"/>
  <c r="V426" i="8"/>
  <c r="AA425" i="8"/>
  <c r="Z425" i="8"/>
  <c r="Y425" i="8"/>
  <c r="X425" i="8"/>
  <c r="AG425" i="8" s="1"/>
  <c r="W425" i="8"/>
  <c r="V425" i="8"/>
  <c r="AA424" i="8"/>
  <c r="Z424" i="8"/>
  <c r="Y424" i="8"/>
  <c r="X424" i="8"/>
  <c r="W424" i="8"/>
  <c r="V424" i="8"/>
  <c r="AA423" i="8"/>
  <c r="Z423" i="8"/>
  <c r="Y423" i="8"/>
  <c r="X423" i="8"/>
  <c r="AG423" i="8" s="1"/>
  <c r="W423" i="8"/>
  <c r="V423" i="8"/>
  <c r="AA421" i="8"/>
  <c r="Z421" i="8"/>
  <c r="Y421" i="8"/>
  <c r="X421" i="8"/>
  <c r="W421" i="8"/>
  <c r="V421" i="8"/>
  <c r="H421" i="8"/>
  <c r="AA419" i="8"/>
  <c r="Z419" i="8"/>
  <c r="Y419" i="8"/>
  <c r="X419" i="8"/>
  <c r="W419" i="8"/>
  <c r="V419" i="8"/>
  <c r="AA418" i="8"/>
  <c r="Z418" i="8"/>
  <c r="Y418" i="8"/>
  <c r="X418" i="8"/>
  <c r="AG418" i="8" s="1"/>
  <c r="W418" i="8"/>
  <c r="V418" i="8"/>
  <c r="AA417" i="8"/>
  <c r="Z417" i="8"/>
  <c r="Y417" i="8"/>
  <c r="X417" i="8"/>
  <c r="AG417" i="8" s="1"/>
  <c r="W417" i="8"/>
  <c r="V417" i="8"/>
  <c r="AA416" i="8"/>
  <c r="Z416" i="8"/>
  <c r="Y416" i="8"/>
  <c r="X416" i="8"/>
  <c r="AG416" i="8" s="1"/>
  <c r="W416" i="8"/>
  <c r="V416" i="8"/>
  <c r="AA414" i="8"/>
  <c r="Z414" i="8"/>
  <c r="Y414" i="8"/>
  <c r="X414" i="8"/>
  <c r="AG415" i="8" s="1"/>
  <c r="W414" i="8"/>
  <c r="V414" i="8"/>
  <c r="H414" i="8"/>
  <c r="AA412" i="8"/>
  <c r="Z412" i="8"/>
  <c r="Y412" i="8"/>
  <c r="X412" i="8"/>
  <c r="AG412" i="8" s="1"/>
  <c r="W412" i="8"/>
  <c r="V412" i="8"/>
  <c r="AA411" i="8"/>
  <c r="Z411" i="8"/>
  <c r="Y411" i="8"/>
  <c r="X411" i="8"/>
  <c r="AG411" i="8" s="1"/>
  <c r="W411" i="8"/>
  <c r="V411" i="8"/>
  <c r="AA410" i="8"/>
  <c r="Z410" i="8"/>
  <c r="Y410" i="8"/>
  <c r="X410" i="8"/>
  <c r="W410" i="8"/>
  <c r="V410" i="8"/>
  <c r="AA409" i="8"/>
  <c r="Z409" i="8"/>
  <c r="Y409" i="8"/>
  <c r="X409" i="8"/>
  <c r="AG409" i="8" s="1"/>
  <c r="W409" i="8"/>
  <c r="V409" i="8"/>
  <c r="AA407" i="8"/>
  <c r="Z407" i="8"/>
  <c r="Y407" i="8"/>
  <c r="X407" i="8"/>
  <c r="W407" i="8"/>
  <c r="V407" i="8"/>
  <c r="H407" i="8"/>
  <c r="AA405" i="8"/>
  <c r="Z405" i="8"/>
  <c r="Y405" i="8"/>
  <c r="X405" i="8"/>
  <c r="W405" i="8"/>
  <c r="V405" i="8"/>
  <c r="AA404" i="8"/>
  <c r="Z404" i="8"/>
  <c r="Y404" i="8"/>
  <c r="X404" i="8"/>
  <c r="AG404" i="8" s="1"/>
  <c r="W404" i="8"/>
  <c r="V404" i="8"/>
  <c r="AA403" i="8"/>
  <c r="Z403" i="8"/>
  <c r="Y403" i="8"/>
  <c r="X403" i="8"/>
  <c r="AG403" i="8" s="1"/>
  <c r="W403" i="8"/>
  <c r="V403" i="8"/>
  <c r="AA402" i="8"/>
  <c r="Z402" i="8"/>
  <c r="Y402" i="8"/>
  <c r="X402" i="8"/>
  <c r="AG402" i="8" s="1"/>
  <c r="W402" i="8"/>
  <c r="V402" i="8"/>
  <c r="AA400" i="8"/>
  <c r="Z400" i="8"/>
  <c r="Y400" i="8"/>
  <c r="X400" i="8"/>
  <c r="W400" i="8"/>
  <c r="V400" i="8"/>
  <c r="H400" i="8"/>
  <c r="AA398" i="8"/>
  <c r="Z398" i="8"/>
  <c r="Y398" i="8"/>
  <c r="X398" i="8"/>
  <c r="W398" i="8"/>
  <c r="V398" i="8"/>
  <c r="AA397" i="8"/>
  <c r="Z397" i="8"/>
  <c r="Y397" i="8"/>
  <c r="X397" i="8"/>
  <c r="AG397" i="8" s="1"/>
  <c r="W397" i="8"/>
  <c r="V397" i="8"/>
  <c r="AA396" i="8"/>
  <c r="Z396" i="8"/>
  <c r="Y396" i="8"/>
  <c r="X396" i="8"/>
  <c r="AG396" i="8" s="1"/>
  <c r="W396" i="8"/>
  <c r="V396" i="8"/>
  <c r="AA395" i="8"/>
  <c r="Z395" i="8"/>
  <c r="Y395" i="8"/>
  <c r="X395" i="8"/>
  <c r="AG395" i="8" s="1"/>
  <c r="W395" i="8"/>
  <c r="V395" i="8"/>
  <c r="AA393" i="8"/>
  <c r="Z393" i="8"/>
  <c r="Y393" i="8"/>
  <c r="X393" i="8"/>
  <c r="W393" i="8"/>
  <c r="V393" i="8"/>
  <c r="H393" i="8"/>
  <c r="AA391" i="8"/>
  <c r="Z391" i="8"/>
  <c r="Y391" i="8"/>
  <c r="X391" i="8"/>
  <c r="AG391" i="8" s="1"/>
  <c r="W391" i="8"/>
  <c r="V391" i="8"/>
  <c r="AA390" i="8"/>
  <c r="Z390" i="8"/>
  <c r="Y390" i="8"/>
  <c r="X390" i="8"/>
  <c r="AG390" i="8" s="1"/>
  <c r="W390" i="8"/>
  <c r="V390" i="8"/>
  <c r="AA389" i="8"/>
  <c r="Z389" i="8"/>
  <c r="Y389" i="8"/>
  <c r="X389" i="8"/>
  <c r="AG389" i="8" s="1"/>
  <c r="W389" i="8"/>
  <c r="V389" i="8"/>
  <c r="AA388" i="8"/>
  <c r="Z388" i="8"/>
  <c r="Y388" i="8"/>
  <c r="X388" i="8"/>
  <c r="AG388" i="8" s="1"/>
  <c r="W388" i="8"/>
  <c r="V388" i="8"/>
  <c r="AA386" i="8"/>
  <c r="Z386" i="8"/>
  <c r="Y386" i="8"/>
  <c r="X386" i="8"/>
  <c r="AG386" i="8" s="1"/>
  <c r="W386" i="8"/>
  <c r="V386" i="8"/>
  <c r="H386" i="8"/>
  <c r="AA384" i="8"/>
  <c r="Z384" i="8"/>
  <c r="Y384" i="8"/>
  <c r="X384" i="8"/>
  <c r="AG384" i="8" s="1"/>
  <c r="W384" i="8"/>
  <c r="V384" i="8"/>
  <c r="AA383" i="8"/>
  <c r="Z383" i="8"/>
  <c r="Y383" i="8"/>
  <c r="X383" i="8"/>
  <c r="AG383" i="8" s="1"/>
  <c r="W383" i="8"/>
  <c r="V383" i="8"/>
  <c r="AA382" i="8"/>
  <c r="Z382" i="8"/>
  <c r="Y382" i="8"/>
  <c r="X382" i="8"/>
  <c r="AG382" i="8" s="1"/>
  <c r="W382" i="8"/>
  <c r="V382" i="8"/>
  <c r="AA381" i="8"/>
  <c r="Z381" i="8"/>
  <c r="Y381" i="8"/>
  <c r="X381" i="8"/>
  <c r="AG381" i="8" s="1"/>
  <c r="W381" i="8"/>
  <c r="V381" i="8"/>
  <c r="AA379" i="8"/>
  <c r="Z379" i="8"/>
  <c r="Y379" i="8"/>
  <c r="X379" i="8"/>
  <c r="AG379" i="8" s="1"/>
  <c r="W379" i="8"/>
  <c r="V379" i="8"/>
  <c r="H379" i="8"/>
  <c r="AA377" i="8"/>
  <c r="Z377" i="8"/>
  <c r="Y377" i="8"/>
  <c r="X377" i="8"/>
  <c r="AG377" i="8" s="1"/>
  <c r="W377" i="8"/>
  <c r="V377" i="8"/>
  <c r="AA376" i="8"/>
  <c r="Z376" i="8"/>
  <c r="Y376" i="8"/>
  <c r="X376" i="8"/>
  <c r="AG376" i="8" s="1"/>
  <c r="W376" i="8"/>
  <c r="V376" i="8"/>
  <c r="AA375" i="8"/>
  <c r="Z375" i="8"/>
  <c r="Y375" i="8"/>
  <c r="X375" i="8"/>
  <c r="AG375" i="8" s="1"/>
  <c r="W375" i="8"/>
  <c r="V375" i="8"/>
  <c r="AA374" i="8"/>
  <c r="Z374" i="8"/>
  <c r="Y374" i="8"/>
  <c r="X374" i="8"/>
  <c r="AG374" i="8" s="1"/>
  <c r="W374" i="8"/>
  <c r="V374" i="8"/>
  <c r="AA372" i="8"/>
  <c r="Z372" i="8"/>
  <c r="Y372" i="8"/>
  <c r="X372" i="8"/>
  <c r="AG372" i="8" s="1"/>
  <c r="W372" i="8"/>
  <c r="V372" i="8"/>
  <c r="H372" i="8"/>
  <c r="AA370" i="8"/>
  <c r="Z370" i="8"/>
  <c r="Y370" i="8"/>
  <c r="X370" i="8"/>
  <c r="AG370" i="8" s="1"/>
  <c r="W370" i="8"/>
  <c r="V370" i="8"/>
  <c r="AA369" i="8"/>
  <c r="Z369" i="8"/>
  <c r="Y369" i="8"/>
  <c r="X369" i="8"/>
  <c r="AG369" i="8" s="1"/>
  <c r="W369" i="8"/>
  <c r="V369" i="8"/>
  <c r="AA368" i="8"/>
  <c r="Z368" i="8"/>
  <c r="Y368" i="8"/>
  <c r="X368" i="8"/>
  <c r="AG368" i="8" s="1"/>
  <c r="W368" i="8"/>
  <c r="V368" i="8"/>
  <c r="AA367" i="8"/>
  <c r="Z367" i="8"/>
  <c r="Y367" i="8"/>
  <c r="X367" i="8"/>
  <c r="AG367" i="8" s="1"/>
  <c r="W367" i="8"/>
  <c r="V367" i="8"/>
  <c r="AA365" i="8"/>
  <c r="Z365" i="8"/>
  <c r="Y365" i="8"/>
  <c r="X365" i="8"/>
  <c r="AG366" i="8" s="1"/>
  <c r="W365" i="8"/>
  <c r="V365" i="8"/>
  <c r="H365" i="8"/>
  <c r="AA363" i="8"/>
  <c r="Z363" i="8"/>
  <c r="Y363" i="8"/>
  <c r="X363" i="8"/>
  <c r="AG363" i="8" s="1"/>
  <c r="W363" i="8"/>
  <c r="V363" i="8"/>
  <c r="AA362" i="8"/>
  <c r="Z362" i="8"/>
  <c r="Y362" i="8"/>
  <c r="X362" i="8"/>
  <c r="AG362" i="8" s="1"/>
  <c r="W362" i="8"/>
  <c r="V362" i="8"/>
  <c r="AA361" i="8"/>
  <c r="Z361" i="8"/>
  <c r="Y361" i="8"/>
  <c r="X361" i="8"/>
  <c r="AG361" i="8" s="1"/>
  <c r="W361" i="8"/>
  <c r="V361" i="8"/>
  <c r="AA360" i="8"/>
  <c r="Z360" i="8"/>
  <c r="Y360" i="8"/>
  <c r="X360" i="8"/>
  <c r="AG360" i="8" s="1"/>
  <c r="W360" i="8"/>
  <c r="V360" i="8"/>
  <c r="AA358" i="8"/>
  <c r="Z358" i="8"/>
  <c r="Y358" i="8"/>
  <c r="X358" i="8"/>
  <c r="AG358" i="8" s="1"/>
  <c r="W358" i="8"/>
  <c r="V358" i="8"/>
  <c r="H358" i="8"/>
  <c r="AA356" i="8"/>
  <c r="Z356" i="8"/>
  <c r="Y356" i="8"/>
  <c r="X356" i="8"/>
  <c r="AG356" i="8" s="1"/>
  <c r="W356" i="8"/>
  <c r="V356" i="8"/>
  <c r="AA355" i="8"/>
  <c r="Z355" i="8"/>
  <c r="Y355" i="8"/>
  <c r="X355" i="8"/>
  <c r="AG355" i="8" s="1"/>
  <c r="W355" i="8"/>
  <c r="V355" i="8"/>
  <c r="AA354" i="8"/>
  <c r="Z354" i="8"/>
  <c r="Y354" i="8"/>
  <c r="X354" i="8"/>
  <c r="AG354" i="8" s="1"/>
  <c r="W354" i="8"/>
  <c r="V354" i="8"/>
  <c r="AA353" i="8"/>
  <c r="Z353" i="8"/>
  <c r="Y353" i="8"/>
  <c r="X353" i="8"/>
  <c r="AG353" i="8" s="1"/>
  <c r="W353" i="8"/>
  <c r="V353" i="8"/>
  <c r="AA351" i="8"/>
  <c r="Z351" i="8"/>
  <c r="Y351" i="8"/>
  <c r="X351" i="8"/>
  <c r="AG352" i="8" s="1"/>
  <c r="W351" i="8"/>
  <c r="V351" i="8"/>
  <c r="H351" i="8"/>
  <c r="AA349" i="8"/>
  <c r="Z349" i="8"/>
  <c r="Y349" i="8"/>
  <c r="X349" i="8"/>
  <c r="AG349" i="8" s="1"/>
  <c r="W349" i="8"/>
  <c r="V349" i="8"/>
  <c r="AA348" i="8"/>
  <c r="Z348" i="8"/>
  <c r="Y348" i="8"/>
  <c r="X348" i="8"/>
  <c r="AG348" i="8" s="1"/>
  <c r="W348" i="8"/>
  <c r="V348" i="8"/>
  <c r="AA347" i="8"/>
  <c r="Z347" i="8"/>
  <c r="Y347" i="8"/>
  <c r="X347" i="8"/>
  <c r="AG347" i="8" s="1"/>
  <c r="W347" i="8"/>
  <c r="V347" i="8"/>
  <c r="AA346" i="8"/>
  <c r="Z346" i="8"/>
  <c r="Y346" i="8"/>
  <c r="X346" i="8"/>
  <c r="AG346" i="8" s="1"/>
  <c r="W346" i="8"/>
  <c r="V346" i="8"/>
  <c r="AA344" i="8"/>
  <c r="Z344" i="8"/>
  <c r="Y344" i="8"/>
  <c r="X344" i="8"/>
  <c r="AG345" i="8" s="1"/>
  <c r="W344" i="8"/>
  <c r="V344" i="8"/>
  <c r="H344" i="8"/>
  <c r="AA342" i="8"/>
  <c r="Z342" i="8"/>
  <c r="Y342" i="8"/>
  <c r="X342" i="8"/>
  <c r="AG342" i="8" s="1"/>
  <c r="W342" i="8"/>
  <c r="V342" i="8"/>
  <c r="AA341" i="8"/>
  <c r="Z341" i="8"/>
  <c r="Y341" i="8"/>
  <c r="X341" i="8"/>
  <c r="AG341" i="8" s="1"/>
  <c r="W341" i="8"/>
  <c r="V341" i="8"/>
  <c r="AA340" i="8"/>
  <c r="Z340" i="8"/>
  <c r="Y340" i="8"/>
  <c r="X340" i="8"/>
  <c r="AG340" i="8" s="1"/>
  <c r="W340" i="8"/>
  <c r="V340" i="8"/>
  <c r="AA339" i="8"/>
  <c r="Z339" i="8"/>
  <c r="Y339" i="8"/>
  <c r="X339" i="8"/>
  <c r="AG339" i="8" s="1"/>
  <c r="W339" i="8"/>
  <c r="V339" i="8"/>
  <c r="AA337" i="8"/>
  <c r="Z337" i="8"/>
  <c r="Y337" i="8"/>
  <c r="X337" i="8"/>
  <c r="AG337" i="8" s="1"/>
  <c r="W337" i="8"/>
  <c r="V337" i="8"/>
  <c r="H337" i="8"/>
  <c r="AA335" i="8"/>
  <c r="Z335" i="8"/>
  <c r="Y335" i="8"/>
  <c r="X335" i="8"/>
  <c r="AG335" i="8" s="1"/>
  <c r="W335" i="8"/>
  <c r="V335" i="8"/>
  <c r="AA334" i="8"/>
  <c r="Z334" i="8"/>
  <c r="Y334" i="8"/>
  <c r="X334" i="8"/>
  <c r="AG334" i="8" s="1"/>
  <c r="W334" i="8"/>
  <c r="V334" i="8"/>
  <c r="AA333" i="8"/>
  <c r="Z333" i="8"/>
  <c r="Y333" i="8"/>
  <c r="X333" i="8"/>
  <c r="AG333" i="8" s="1"/>
  <c r="W333" i="8"/>
  <c r="V333" i="8"/>
  <c r="AA332" i="8"/>
  <c r="Z332" i="8"/>
  <c r="Y332" i="8"/>
  <c r="X332" i="8"/>
  <c r="AG332" i="8" s="1"/>
  <c r="W332" i="8"/>
  <c r="V332" i="8"/>
  <c r="AA330" i="8"/>
  <c r="Z330" i="8"/>
  <c r="Y330" i="8"/>
  <c r="X330" i="8"/>
  <c r="AG331" i="8" s="1"/>
  <c r="W330" i="8"/>
  <c r="V330" i="8"/>
  <c r="H330" i="8"/>
  <c r="AA328" i="8"/>
  <c r="Z328" i="8"/>
  <c r="Y328" i="8"/>
  <c r="X328" i="8"/>
  <c r="AG328" i="8" s="1"/>
  <c r="W328" i="8"/>
  <c r="V328" i="8"/>
  <c r="AA327" i="8"/>
  <c r="Z327" i="8"/>
  <c r="Y327" i="8"/>
  <c r="X327" i="8"/>
  <c r="AG327" i="8" s="1"/>
  <c r="W327" i="8"/>
  <c r="V327" i="8"/>
  <c r="AA326" i="8"/>
  <c r="Z326" i="8"/>
  <c r="Y326" i="8"/>
  <c r="X326" i="8"/>
  <c r="AG326" i="8" s="1"/>
  <c r="W326" i="8"/>
  <c r="V326" i="8"/>
  <c r="AA325" i="8"/>
  <c r="Z325" i="8"/>
  <c r="Y325" i="8"/>
  <c r="X325" i="8"/>
  <c r="AG325" i="8" s="1"/>
  <c r="W325" i="8"/>
  <c r="V325" i="8"/>
  <c r="AA323" i="8"/>
  <c r="Z323" i="8"/>
  <c r="Y323" i="8"/>
  <c r="X323" i="8"/>
  <c r="AG324" i="8" s="1"/>
  <c r="W323" i="8"/>
  <c r="V323" i="8"/>
  <c r="H323" i="8"/>
  <c r="AA321" i="8"/>
  <c r="Z321" i="8"/>
  <c r="Y321" i="8"/>
  <c r="X321" i="8"/>
  <c r="AG321" i="8" s="1"/>
  <c r="W321" i="8"/>
  <c r="V321" i="8"/>
  <c r="AA320" i="8"/>
  <c r="Z320" i="8"/>
  <c r="Y320" i="8"/>
  <c r="X320" i="8"/>
  <c r="AG320" i="8" s="1"/>
  <c r="W320" i="8"/>
  <c r="V320" i="8"/>
  <c r="AA319" i="8"/>
  <c r="Z319" i="8"/>
  <c r="Y319" i="8"/>
  <c r="X319" i="8"/>
  <c r="AG319" i="8" s="1"/>
  <c r="W319" i="8"/>
  <c r="V319" i="8"/>
  <c r="AA318" i="8"/>
  <c r="Z318" i="8"/>
  <c r="Y318" i="8"/>
  <c r="X318" i="8"/>
  <c r="AG318" i="8" s="1"/>
  <c r="W318" i="8"/>
  <c r="V318" i="8"/>
  <c r="AA316" i="8"/>
  <c r="Z316" i="8"/>
  <c r="Y316" i="8"/>
  <c r="X316" i="8"/>
  <c r="AG317" i="8" s="1"/>
  <c r="W316" i="8"/>
  <c r="V316" i="8"/>
  <c r="H316" i="8"/>
  <c r="AA314" i="8"/>
  <c r="Z314" i="8"/>
  <c r="Y314" i="8"/>
  <c r="X314" i="8"/>
  <c r="AG314" i="8" s="1"/>
  <c r="W314" i="8"/>
  <c r="V314" i="8"/>
  <c r="AA313" i="8"/>
  <c r="Z313" i="8"/>
  <c r="Y313" i="8"/>
  <c r="X313" i="8"/>
  <c r="AG313" i="8" s="1"/>
  <c r="W313" i="8"/>
  <c r="V313" i="8"/>
  <c r="AA312" i="8"/>
  <c r="Z312" i="8"/>
  <c r="Y312" i="8"/>
  <c r="X312" i="8"/>
  <c r="AG312" i="8" s="1"/>
  <c r="W312" i="8"/>
  <c r="V312" i="8"/>
  <c r="AA311" i="8"/>
  <c r="Z311" i="8"/>
  <c r="Y311" i="8"/>
  <c r="X311" i="8"/>
  <c r="AG311" i="8" s="1"/>
  <c r="W311" i="8"/>
  <c r="V311" i="8"/>
  <c r="AA309" i="8"/>
  <c r="Z309" i="8"/>
  <c r="Y309" i="8"/>
  <c r="X309" i="8"/>
  <c r="AG310" i="8" s="1"/>
  <c r="W309" i="8"/>
  <c r="V309" i="8"/>
  <c r="H309" i="8"/>
  <c r="AA307" i="8"/>
  <c r="Z307" i="8"/>
  <c r="Y307" i="8"/>
  <c r="X307" i="8"/>
  <c r="AG307" i="8" s="1"/>
  <c r="W307" i="8"/>
  <c r="V307" i="8"/>
  <c r="AA306" i="8"/>
  <c r="Z306" i="8"/>
  <c r="Y306" i="8"/>
  <c r="X306" i="8"/>
  <c r="AG306" i="8" s="1"/>
  <c r="W306" i="8"/>
  <c r="V306" i="8"/>
  <c r="AA305" i="8"/>
  <c r="Z305" i="8"/>
  <c r="Y305" i="8"/>
  <c r="X305" i="8"/>
  <c r="AG305" i="8" s="1"/>
  <c r="W305" i="8"/>
  <c r="V305" i="8"/>
  <c r="AA304" i="8"/>
  <c r="Z304" i="8"/>
  <c r="Y304" i="8"/>
  <c r="X304" i="8"/>
  <c r="AG304" i="8" s="1"/>
  <c r="W304" i="8"/>
  <c r="V304" i="8"/>
  <c r="AA302" i="8"/>
  <c r="Z302" i="8"/>
  <c r="Y302" i="8"/>
  <c r="X302" i="8"/>
  <c r="AG303" i="8" s="1"/>
  <c r="W302" i="8"/>
  <c r="V302" i="8"/>
  <c r="H302" i="8"/>
  <c r="AA300" i="8"/>
  <c r="Z300" i="8"/>
  <c r="Y300" i="8"/>
  <c r="X300" i="8"/>
  <c r="AG300" i="8" s="1"/>
  <c r="W300" i="8"/>
  <c r="V300" i="8"/>
  <c r="AA299" i="8"/>
  <c r="Z299" i="8"/>
  <c r="Y299" i="8"/>
  <c r="X299" i="8"/>
  <c r="AG299" i="8" s="1"/>
  <c r="W299" i="8"/>
  <c r="V299" i="8"/>
  <c r="AA298" i="8"/>
  <c r="Z298" i="8"/>
  <c r="Y298" i="8"/>
  <c r="X298" i="8"/>
  <c r="AG298" i="8" s="1"/>
  <c r="W298" i="8"/>
  <c r="V298" i="8"/>
  <c r="AA297" i="8"/>
  <c r="Z297" i="8"/>
  <c r="Y297" i="8"/>
  <c r="X297" i="8"/>
  <c r="AG297" i="8" s="1"/>
  <c r="W297" i="8"/>
  <c r="V297" i="8"/>
  <c r="AA295" i="8"/>
  <c r="Z295" i="8"/>
  <c r="Y295" i="8"/>
  <c r="X295" i="8"/>
  <c r="AG295" i="8" s="1"/>
  <c r="W295" i="8"/>
  <c r="V295" i="8"/>
  <c r="H295" i="8"/>
  <c r="AA293" i="8"/>
  <c r="Z293" i="8"/>
  <c r="Y293" i="8"/>
  <c r="X293" i="8"/>
  <c r="AG293" i="8" s="1"/>
  <c r="W293" i="8"/>
  <c r="V293" i="8"/>
  <c r="AA292" i="8"/>
  <c r="Z292" i="8"/>
  <c r="Y292" i="8"/>
  <c r="X292" i="8"/>
  <c r="AG292" i="8" s="1"/>
  <c r="W292" i="8"/>
  <c r="V292" i="8"/>
  <c r="AA291" i="8"/>
  <c r="Z291" i="8"/>
  <c r="Y291" i="8"/>
  <c r="X291" i="8"/>
  <c r="AG291" i="8" s="1"/>
  <c r="W291" i="8"/>
  <c r="V291" i="8"/>
  <c r="AA290" i="8"/>
  <c r="Z290" i="8"/>
  <c r="Y290" i="8"/>
  <c r="X290" i="8"/>
  <c r="AG290" i="8" s="1"/>
  <c r="W290" i="8"/>
  <c r="V290" i="8"/>
  <c r="AA288" i="8"/>
  <c r="Z288" i="8"/>
  <c r="Y288" i="8"/>
  <c r="X288" i="8"/>
  <c r="AG288" i="8" s="1"/>
  <c r="W288" i="8"/>
  <c r="V288" i="8"/>
  <c r="H288" i="8"/>
  <c r="AA130" i="8"/>
  <c r="Z130" i="8"/>
  <c r="Y130" i="8"/>
  <c r="X130" i="8"/>
  <c r="AG130" i="8" s="1"/>
  <c r="N462" i="29" s="1"/>
  <c r="W130" i="8"/>
  <c r="V130" i="8"/>
  <c r="AA129" i="8"/>
  <c r="Z129" i="8"/>
  <c r="Y129" i="8"/>
  <c r="X129" i="8"/>
  <c r="AG129" i="8" s="1"/>
  <c r="N461" i="29" s="1"/>
  <c r="W129" i="8"/>
  <c r="V129" i="8"/>
  <c r="AA128" i="8"/>
  <c r="Z128" i="8"/>
  <c r="Y128" i="8"/>
  <c r="X128" i="8"/>
  <c r="AG128" i="8" s="1"/>
  <c r="N460" i="29" s="1"/>
  <c r="W128" i="8"/>
  <c r="V128" i="8"/>
  <c r="AA127" i="8"/>
  <c r="Z127" i="8"/>
  <c r="Y127" i="8"/>
  <c r="X127" i="8"/>
  <c r="AG127" i="8" s="1"/>
  <c r="N459" i="29" s="1"/>
  <c r="W127" i="8"/>
  <c r="V127" i="8"/>
  <c r="AA125" i="8"/>
  <c r="Z125" i="8"/>
  <c r="Y125" i="8"/>
  <c r="X125" i="8"/>
  <c r="AG126" i="8" s="1"/>
  <c r="N458" i="29" s="1"/>
  <c r="W125" i="8"/>
  <c r="V125" i="8"/>
  <c r="H125" i="8"/>
  <c r="AA122" i="8"/>
  <c r="Z122" i="8"/>
  <c r="Y122" i="8"/>
  <c r="X122" i="8"/>
  <c r="AG122" i="8" s="1"/>
  <c r="W122" i="8"/>
  <c r="V122" i="8"/>
  <c r="AA121" i="8"/>
  <c r="Z121" i="8"/>
  <c r="Y121" i="8"/>
  <c r="X121" i="8"/>
  <c r="AG121" i="8" s="1"/>
  <c r="W121" i="8"/>
  <c r="V121" i="8"/>
  <c r="AA120" i="8"/>
  <c r="Z120" i="8"/>
  <c r="Y120" i="8"/>
  <c r="X120" i="8"/>
  <c r="AG120" i="8" s="1"/>
  <c r="W120" i="8"/>
  <c r="V120" i="8"/>
  <c r="AA119" i="8"/>
  <c r="Z119" i="8"/>
  <c r="Y119" i="8"/>
  <c r="X119" i="8"/>
  <c r="AG119" i="8" s="1"/>
  <c r="W119" i="8"/>
  <c r="V119" i="8"/>
  <c r="AA117" i="8"/>
  <c r="Z117" i="8"/>
  <c r="Y117" i="8"/>
  <c r="X117" i="8"/>
  <c r="AG118" i="8" s="1"/>
  <c r="W117" i="8"/>
  <c r="V117" i="8"/>
  <c r="H117" i="8"/>
  <c r="AA115" i="8"/>
  <c r="Z115" i="8"/>
  <c r="Y115" i="8"/>
  <c r="X115" i="8"/>
  <c r="AG115" i="8" s="1"/>
  <c r="W115" i="8"/>
  <c r="V115" i="8"/>
  <c r="AA114" i="8"/>
  <c r="Z114" i="8"/>
  <c r="Y114" i="8"/>
  <c r="X114" i="8"/>
  <c r="AG114" i="8" s="1"/>
  <c r="W114" i="8"/>
  <c r="V114" i="8"/>
  <c r="AA113" i="8"/>
  <c r="Z113" i="8"/>
  <c r="Y113" i="8"/>
  <c r="X113" i="8"/>
  <c r="AG113" i="8" s="1"/>
  <c r="W113" i="8"/>
  <c r="V113" i="8"/>
  <c r="AA112" i="8"/>
  <c r="Z112" i="8"/>
  <c r="Y112" i="8"/>
  <c r="X112" i="8"/>
  <c r="AG112" i="8" s="1"/>
  <c r="W112" i="8"/>
  <c r="V112" i="8"/>
  <c r="AA110" i="8"/>
  <c r="Z110" i="8"/>
  <c r="Y110" i="8"/>
  <c r="X110" i="8"/>
  <c r="AG110" i="8" s="1"/>
  <c r="W110" i="8"/>
  <c r="V110" i="8"/>
  <c r="H110" i="8"/>
  <c r="AA108" i="8"/>
  <c r="Z108" i="8"/>
  <c r="Y108" i="8"/>
  <c r="X108" i="8"/>
  <c r="AG108" i="8" s="1"/>
  <c r="W108" i="8"/>
  <c r="V108" i="8"/>
  <c r="AA107" i="8"/>
  <c r="Z107" i="8"/>
  <c r="Y107" i="8"/>
  <c r="X107" i="8"/>
  <c r="AG107" i="8" s="1"/>
  <c r="W107" i="8"/>
  <c r="V107" i="8"/>
  <c r="AA106" i="8"/>
  <c r="Z106" i="8"/>
  <c r="Y106" i="8"/>
  <c r="X106" i="8"/>
  <c r="AG106" i="8" s="1"/>
  <c r="N406" i="29" s="1"/>
  <c r="W106" i="8"/>
  <c r="V106" i="8"/>
  <c r="AA105" i="8"/>
  <c r="Z105" i="8"/>
  <c r="Y105" i="8"/>
  <c r="X105" i="8"/>
  <c r="AG105" i="8" s="1"/>
  <c r="N405" i="29" s="1"/>
  <c r="W105" i="8"/>
  <c r="V105" i="8"/>
  <c r="AA103" i="8"/>
  <c r="Z103" i="8"/>
  <c r="Y103" i="8"/>
  <c r="X103" i="8"/>
  <c r="AG103" i="8" s="1"/>
  <c r="N403" i="29" s="1"/>
  <c r="W103" i="8"/>
  <c r="V103" i="8"/>
  <c r="H103" i="8"/>
  <c r="AA95" i="8"/>
  <c r="Z95" i="8"/>
  <c r="Y95" i="8"/>
  <c r="X95" i="8"/>
  <c r="AG95" i="8" s="1"/>
  <c r="W95" i="8"/>
  <c r="V95" i="8"/>
  <c r="AA94" i="8"/>
  <c r="Z94" i="8"/>
  <c r="Y94" i="8"/>
  <c r="X94" i="8"/>
  <c r="AG94" i="8" s="1"/>
  <c r="W94" i="8"/>
  <c r="V94" i="8"/>
  <c r="AA93" i="8"/>
  <c r="Z93" i="8"/>
  <c r="Y93" i="8"/>
  <c r="X93" i="8"/>
  <c r="AG93" i="8" s="1"/>
  <c r="W93" i="8"/>
  <c r="V93" i="8"/>
  <c r="AA92" i="8"/>
  <c r="Z92" i="8"/>
  <c r="Y92" i="8"/>
  <c r="X92" i="8"/>
  <c r="AG92" i="8" s="1"/>
  <c r="W92" i="8"/>
  <c r="V92" i="8"/>
  <c r="AA90" i="8"/>
  <c r="Z90" i="8"/>
  <c r="Y90" i="8"/>
  <c r="X90" i="8"/>
  <c r="AG90" i="8" s="1"/>
  <c r="W90" i="8"/>
  <c r="V90" i="8"/>
  <c r="H90" i="8"/>
  <c r="AA89" i="8"/>
  <c r="Z89" i="8"/>
  <c r="Y89" i="8"/>
  <c r="X89" i="8"/>
  <c r="AG89" i="8" s="1"/>
  <c r="W89" i="8"/>
  <c r="V89" i="8"/>
  <c r="AA88" i="8"/>
  <c r="Z88" i="8"/>
  <c r="Y88" i="8"/>
  <c r="X88" i="8"/>
  <c r="AG88" i="8" s="1"/>
  <c r="W88" i="8"/>
  <c r="V88" i="8"/>
  <c r="AA87" i="8"/>
  <c r="Z87" i="8"/>
  <c r="Y87" i="8"/>
  <c r="X87" i="8"/>
  <c r="AG87" i="8" s="1"/>
  <c r="W87" i="8"/>
  <c r="V87" i="8"/>
  <c r="AA86" i="8"/>
  <c r="Z86" i="8"/>
  <c r="Y86" i="8"/>
  <c r="X86" i="8"/>
  <c r="AG86" i="8" s="1"/>
  <c r="W86" i="8"/>
  <c r="V86" i="8"/>
  <c r="AA84" i="8"/>
  <c r="Z84" i="8"/>
  <c r="Y84" i="8"/>
  <c r="X84" i="8"/>
  <c r="AG84" i="8" s="1"/>
  <c r="W84" i="8"/>
  <c r="V84" i="8"/>
  <c r="H84" i="8"/>
  <c r="AA83" i="8"/>
  <c r="Z83" i="8"/>
  <c r="Y83" i="8"/>
  <c r="X83" i="8"/>
  <c r="AG83" i="8" s="1"/>
  <c r="W83" i="8"/>
  <c r="V83" i="8"/>
  <c r="AA82" i="8"/>
  <c r="Z82" i="8"/>
  <c r="Y82" i="8"/>
  <c r="X82" i="8"/>
  <c r="AG82" i="8" s="1"/>
  <c r="W82" i="8"/>
  <c r="V82" i="8"/>
  <c r="AA81" i="8"/>
  <c r="Z81" i="8"/>
  <c r="Y81" i="8"/>
  <c r="X81" i="8"/>
  <c r="AG81" i="8" s="1"/>
  <c r="W81" i="8"/>
  <c r="V81" i="8"/>
  <c r="AA80" i="8"/>
  <c r="Z80" i="8"/>
  <c r="Y80" i="8"/>
  <c r="X80" i="8"/>
  <c r="AG80" i="8" s="1"/>
  <c r="W80" i="8"/>
  <c r="V80" i="8"/>
  <c r="AA78" i="8"/>
  <c r="Z78" i="8"/>
  <c r="Y78" i="8"/>
  <c r="X78" i="8"/>
  <c r="AG78" i="8" s="1"/>
  <c r="W78" i="8"/>
  <c r="V78" i="8"/>
  <c r="H78" i="8"/>
  <c r="AA77" i="8"/>
  <c r="Z77" i="8"/>
  <c r="Y77" i="8"/>
  <c r="X77" i="8"/>
  <c r="AG77" i="8" s="1"/>
  <c r="W77" i="8"/>
  <c r="V77" i="8"/>
  <c r="AA76" i="8"/>
  <c r="Z76" i="8"/>
  <c r="Y76" i="8"/>
  <c r="X76" i="8"/>
  <c r="AG76" i="8" s="1"/>
  <c r="W76" i="8"/>
  <c r="V76" i="8"/>
  <c r="AA75" i="8"/>
  <c r="Z75" i="8"/>
  <c r="Y75" i="8"/>
  <c r="X75" i="8"/>
  <c r="AG75" i="8" s="1"/>
  <c r="W75" i="8"/>
  <c r="V75" i="8"/>
  <c r="AA74" i="8"/>
  <c r="Z74" i="8"/>
  <c r="Y74" i="8"/>
  <c r="X74" i="8"/>
  <c r="AG74" i="8" s="1"/>
  <c r="W74" i="8"/>
  <c r="V74" i="8"/>
  <c r="AA72" i="8"/>
  <c r="Z72" i="8"/>
  <c r="Y72" i="8"/>
  <c r="X72" i="8"/>
  <c r="AG72" i="8" s="1"/>
  <c r="W72" i="8"/>
  <c r="V72" i="8"/>
  <c r="H72" i="8"/>
  <c r="AA70" i="8"/>
  <c r="Z70" i="8"/>
  <c r="Y70" i="8"/>
  <c r="X70" i="8"/>
  <c r="AG70" i="8" s="1"/>
  <c r="W70" i="8"/>
  <c r="V70" i="8"/>
  <c r="AA69" i="8"/>
  <c r="Z69" i="8"/>
  <c r="Y69" i="8"/>
  <c r="X69" i="8"/>
  <c r="AG69" i="8" s="1"/>
  <c r="W69" i="8"/>
  <c r="V69" i="8"/>
  <c r="AA68" i="8"/>
  <c r="Z68" i="8"/>
  <c r="Y68" i="8"/>
  <c r="X68" i="8"/>
  <c r="AG68" i="8" s="1"/>
  <c r="W68" i="8"/>
  <c r="V68" i="8"/>
  <c r="AA67" i="8"/>
  <c r="Z67" i="8"/>
  <c r="Y67" i="8"/>
  <c r="X67" i="8"/>
  <c r="AG67" i="8" s="1"/>
  <c r="W67" i="8"/>
  <c r="V67" i="8"/>
  <c r="AA65" i="8"/>
  <c r="Z65" i="8"/>
  <c r="Y65" i="8"/>
  <c r="X65" i="8"/>
  <c r="AG65" i="8" s="1"/>
  <c r="W65" i="8"/>
  <c r="V65" i="8"/>
  <c r="H65" i="8"/>
  <c r="AA63" i="8"/>
  <c r="Z63" i="8"/>
  <c r="Y63" i="8"/>
  <c r="X63" i="8"/>
  <c r="AG63" i="8" s="1"/>
  <c r="W63" i="8"/>
  <c r="V63" i="8"/>
  <c r="AA62" i="8"/>
  <c r="Z62" i="8"/>
  <c r="Y62" i="8"/>
  <c r="X62" i="8"/>
  <c r="AG62" i="8" s="1"/>
  <c r="W62" i="8"/>
  <c r="V62" i="8"/>
  <c r="AA61" i="8"/>
  <c r="Z61" i="8"/>
  <c r="Y61" i="8"/>
  <c r="X61" i="8"/>
  <c r="AG61" i="8" s="1"/>
  <c r="W61" i="8"/>
  <c r="V61" i="8"/>
  <c r="AA60" i="8"/>
  <c r="Z60" i="8"/>
  <c r="Y60" i="8"/>
  <c r="X60" i="8"/>
  <c r="AG60" i="8" s="1"/>
  <c r="W60" i="8"/>
  <c r="V60" i="8"/>
  <c r="AA58" i="8"/>
  <c r="Z58" i="8"/>
  <c r="Y58" i="8"/>
  <c r="X58" i="8"/>
  <c r="AG58" i="8" s="1"/>
  <c r="W58" i="8"/>
  <c r="V58" i="8"/>
  <c r="H58" i="8"/>
  <c r="AA56" i="8"/>
  <c r="Z56" i="8"/>
  <c r="Y56" i="8"/>
  <c r="X56" i="8"/>
  <c r="AG56" i="8" s="1"/>
  <c r="W56" i="8"/>
  <c r="V56" i="8"/>
  <c r="AA55" i="8"/>
  <c r="Z55" i="8"/>
  <c r="Y55" i="8"/>
  <c r="X55" i="8"/>
  <c r="AG55" i="8" s="1"/>
  <c r="W55" i="8"/>
  <c r="V55" i="8"/>
  <c r="AA54" i="8"/>
  <c r="Z54" i="8"/>
  <c r="Y54" i="8"/>
  <c r="X54" i="8"/>
  <c r="AG54" i="8" s="1"/>
  <c r="W54" i="8"/>
  <c r="V54" i="8"/>
  <c r="AA53" i="8"/>
  <c r="Z53" i="8"/>
  <c r="Y53" i="8"/>
  <c r="X53" i="8"/>
  <c r="AG53" i="8" s="1"/>
  <c r="W53" i="8"/>
  <c r="V53" i="8"/>
  <c r="AA51" i="8"/>
  <c r="Z51" i="8"/>
  <c r="Y51" i="8"/>
  <c r="X51" i="8"/>
  <c r="AG51" i="8" s="1"/>
  <c r="W51" i="8"/>
  <c r="V51" i="8"/>
  <c r="H51" i="8"/>
  <c r="AA49" i="8"/>
  <c r="Z49" i="8"/>
  <c r="Y49" i="8"/>
  <c r="X49" i="8"/>
  <c r="AG49" i="8" s="1"/>
  <c r="W49" i="8"/>
  <c r="V49" i="8"/>
  <c r="AA48" i="8"/>
  <c r="Z48" i="8"/>
  <c r="Y48" i="8"/>
  <c r="X48" i="8"/>
  <c r="AG48" i="8" s="1"/>
  <c r="W48" i="8"/>
  <c r="V48" i="8"/>
  <c r="AA47" i="8"/>
  <c r="Z47" i="8"/>
  <c r="Y47" i="8"/>
  <c r="X47" i="8"/>
  <c r="AG47" i="8" s="1"/>
  <c r="W47" i="8"/>
  <c r="V47" i="8"/>
  <c r="AA46" i="8"/>
  <c r="Z46" i="8"/>
  <c r="Y46" i="8"/>
  <c r="X46" i="8"/>
  <c r="AG46" i="8" s="1"/>
  <c r="W46" i="8"/>
  <c r="V46" i="8"/>
  <c r="AJ44" i="8"/>
  <c r="AA44" i="8"/>
  <c r="Z44" i="8"/>
  <c r="Y44" i="8"/>
  <c r="X44" i="8"/>
  <c r="AG44" i="8" s="1"/>
  <c r="W44" i="8"/>
  <c r="V44" i="8"/>
  <c r="H44" i="8"/>
  <c r="X744" i="12"/>
  <c r="W744" i="12"/>
  <c r="AD744" i="12" s="1"/>
  <c r="V744" i="12"/>
  <c r="X743" i="12"/>
  <c r="W743" i="12"/>
  <c r="AD743" i="12" s="1"/>
  <c r="V743" i="12"/>
  <c r="X742" i="12"/>
  <c r="W742" i="12"/>
  <c r="AD742" i="12" s="1"/>
  <c r="V742" i="12"/>
  <c r="X741" i="12"/>
  <c r="W741" i="12"/>
  <c r="AD741" i="12" s="1"/>
  <c r="V741" i="12"/>
  <c r="X739" i="12"/>
  <c r="W739" i="12"/>
  <c r="AD740" i="12" s="1"/>
  <c r="V739" i="12"/>
  <c r="N739" i="12"/>
  <c r="J739" i="12"/>
  <c r="H739" i="12" s="1"/>
  <c r="T739" i="12" s="1"/>
  <c r="X738" i="12"/>
  <c r="W738" i="12"/>
  <c r="AD738" i="12" s="1"/>
  <c r="V738" i="12"/>
  <c r="X737" i="12"/>
  <c r="W737" i="12"/>
  <c r="AD737" i="12" s="1"/>
  <c r="AD749" i="12" s="1"/>
  <c r="N803" i="29" s="1"/>
  <c r="V737" i="12"/>
  <c r="X736" i="12"/>
  <c r="W736" i="12"/>
  <c r="AD736" i="12" s="1"/>
  <c r="AD748" i="12" s="1"/>
  <c r="N802" i="29" s="1"/>
  <c r="V736" i="12"/>
  <c r="X735" i="12"/>
  <c r="W735" i="12"/>
  <c r="AD735" i="12" s="1"/>
  <c r="AD747" i="12" s="1"/>
  <c r="N801" i="29" s="1"/>
  <c r="V735" i="12"/>
  <c r="X733" i="12"/>
  <c r="W733" i="12"/>
  <c r="V733" i="12"/>
  <c r="N733" i="12"/>
  <c r="J733" i="12"/>
  <c r="H733" i="12" s="1"/>
  <c r="T733" i="12" s="1"/>
  <c r="X725" i="12"/>
  <c r="W725" i="12"/>
  <c r="AD725" i="12" s="1"/>
  <c r="V725" i="12"/>
  <c r="X724" i="12"/>
  <c r="W724" i="12"/>
  <c r="AD724" i="12" s="1"/>
  <c r="V724" i="12"/>
  <c r="X723" i="12"/>
  <c r="W723" i="12"/>
  <c r="AD723" i="12" s="1"/>
  <c r="V723" i="12"/>
  <c r="X722" i="12"/>
  <c r="W722" i="12"/>
  <c r="AD722" i="12" s="1"/>
  <c r="V722" i="12"/>
  <c r="X720" i="12"/>
  <c r="W720" i="12"/>
  <c r="AD721" i="12" s="1"/>
  <c r="V720" i="12"/>
  <c r="N720" i="12"/>
  <c r="J720" i="12"/>
  <c r="H720" i="12" s="1"/>
  <c r="T720" i="12" s="1"/>
  <c r="X719" i="12"/>
  <c r="W719" i="12"/>
  <c r="AD719" i="12" s="1"/>
  <c r="AD731" i="12" s="1"/>
  <c r="N798" i="29" s="1"/>
  <c r="V719" i="12"/>
  <c r="X718" i="12"/>
  <c r="W718" i="12"/>
  <c r="AD718" i="12" s="1"/>
  <c r="AD730" i="12" s="1"/>
  <c r="N797" i="29" s="1"/>
  <c r="V718" i="12"/>
  <c r="X717" i="12"/>
  <c r="W717" i="12"/>
  <c r="AD717" i="12" s="1"/>
  <c r="V717" i="12"/>
  <c r="X716" i="12"/>
  <c r="W716" i="12"/>
  <c r="AD716" i="12" s="1"/>
  <c r="AD728" i="12" s="1"/>
  <c r="N795" i="29" s="1"/>
  <c r="V716" i="12"/>
  <c r="X714" i="12"/>
  <c r="W714" i="12"/>
  <c r="V714" i="12"/>
  <c r="N714" i="12"/>
  <c r="J714" i="12"/>
  <c r="H714" i="12" s="1"/>
  <c r="S716" i="12" s="1"/>
  <c r="X712" i="12"/>
  <c r="W712" i="12"/>
  <c r="AD712" i="12" s="1"/>
  <c r="N762" i="29" s="1"/>
  <c r="V712" i="12"/>
  <c r="X711" i="12"/>
  <c r="W711" i="12"/>
  <c r="AD711" i="12" s="1"/>
  <c r="N761" i="29" s="1"/>
  <c r="V711" i="12"/>
  <c r="X710" i="12"/>
  <c r="W710" i="12"/>
  <c r="AD710" i="12" s="1"/>
  <c r="N760" i="29" s="1"/>
  <c r="V710" i="12"/>
  <c r="X709" i="12"/>
  <c r="W709" i="12"/>
  <c r="AD709" i="12" s="1"/>
  <c r="N759" i="29" s="1"/>
  <c r="V709" i="12"/>
  <c r="X707" i="12"/>
  <c r="W707" i="12"/>
  <c r="V707" i="12"/>
  <c r="N707" i="12"/>
  <c r="J707" i="12"/>
  <c r="H707" i="12" s="1"/>
  <c r="U711" i="12" s="1"/>
  <c r="X705" i="12"/>
  <c r="W705" i="12"/>
  <c r="AD705" i="12" s="1"/>
  <c r="N756" i="29" s="1"/>
  <c r="V705" i="12"/>
  <c r="X704" i="12"/>
  <c r="W704" i="12"/>
  <c r="AD704" i="12" s="1"/>
  <c r="N755" i="29" s="1"/>
  <c r="V704" i="12"/>
  <c r="X703" i="12"/>
  <c r="W703" i="12"/>
  <c r="AD703" i="12" s="1"/>
  <c r="N754" i="29" s="1"/>
  <c r="V703" i="12"/>
  <c r="X702" i="12"/>
  <c r="W702" i="12"/>
  <c r="AD702" i="12" s="1"/>
  <c r="N753" i="29" s="1"/>
  <c r="V702" i="12"/>
  <c r="X700" i="12"/>
  <c r="W700" i="12"/>
  <c r="AD701" i="12" s="1"/>
  <c r="N752" i="29" s="1"/>
  <c r="V700" i="12"/>
  <c r="N700" i="12"/>
  <c r="J700" i="12"/>
  <c r="H700" i="12" s="1"/>
  <c r="X698" i="12"/>
  <c r="W698" i="12"/>
  <c r="AD698" i="12" s="1"/>
  <c r="N750" i="29" s="1"/>
  <c r="V698" i="12"/>
  <c r="X697" i="12"/>
  <c r="W697" i="12"/>
  <c r="AD697" i="12" s="1"/>
  <c r="N749" i="29" s="1"/>
  <c r="V697" i="12"/>
  <c r="X696" i="12"/>
  <c r="W696" i="12"/>
  <c r="AD696" i="12" s="1"/>
  <c r="N748" i="29" s="1"/>
  <c r="V696" i="12"/>
  <c r="X695" i="12"/>
  <c r="W695" i="12"/>
  <c r="AD695" i="12" s="1"/>
  <c r="N747" i="29" s="1"/>
  <c r="V695" i="12"/>
  <c r="X693" i="12"/>
  <c r="W693" i="12"/>
  <c r="AD694" i="12" s="1"/>
  <c r="V693" i="12"/>
  <c r="N693" i="12"/>
  <c r="J693" i="12"/>
  <c r="H693" i="12" s="1"/>
  <c r="X691" i="12"/>
  <c r="W691" i="12"/>
  <c r="AD691" i="12" s="1"/>
  <c r="N744" i="29" s="1"/>
  <c r="V691" i="12"/>
  <c r="X690" i="12"/>
  <c r="W690" i="12"/>
  <c r="AD690" i="12" s="1"/>
  <c r="N743" i="29" s="1"/>
  <c r="V690" i="12"/>
  <c r="X689" i="12"/>
  <c r="W689" i="12"/>
  <c r="AD689" i="12" s="1"/>
  <c r="N742" i="29" s="1"/>
  <c r="V689" i="12"/>
  <c r="X688" i="12"/>
  <c r="W688" i="12"/>
  <c r="AD688" i="12" s="1"/>
  <c r="N741" i="29" s="1"/>
  <c r="V688" i="12"/>
  <c r="X686" i="12"/>
  <c r="W686" i="12"/>
  <c r="V686" i="12"/>
  <c r="N686" i="12"/>
  <c r="J686" i="12"/>
  <c r="H686" i="12" s="1"/>
  <c r="X684" i="12"/>
  <c r="W684" i="12"/>
  <c r="AD684" i="12" s="1"/>
  <c r="N738" i="29" s="1"/>
  <c r="V684" i="12"/>
  <c r="X683" i="12"/>
  <c r="W683" i="12"/>
  <c r="AD683" i="12" s="1"/>
  <c r="N737" i="29" s="1"/>
  <c r="V683" i="12"/>
  <c r="X682" i="12"/>
  <c r="W682" i="12"/>
  <c r="AD682" i="12" s="1"/>
  <c r="N736" i="29" s="1"/>
  <c r="V682" i="12"/>
  <c r="X681" i="12"/>
  <c r="W681" i="12"/>
  <c r="AD681" i="12" s="1"/>
  <c r="N735" i="29" s="1"/>
  <c r="V681" i="12"/>
  <c r="X679" i="12"/>
  <c r="W679" i="12"/>
  <c r="V679" i="12"/>
  <c r="N679" i="12"/>
  <c r="J679" i="12"/>
  <c r="H679" i="12" s="1"/>
  <c r="X677" i="12"/>
  <c r="W677" i="12"/>
  <c r="AD677" i="12" s="1"/>
  <c r="N732" i="29" s="1"/>
  <c r="V677" i="12"/>
  <c r="X676" i="12"/>
  <c r="W676" i="12"/>
  <c r="AD676" i="12" s="1"/>
  <c r="N731" i="29" s="1"/>
  <c r="V676" i="12"/>
  <c r="X675" i="12"/>
  <c r="W675" i="12"/>
  <c r="AD675" i="12" s="1"/>
  <c r="N730" i="29" s="1"/>
  <c r="V675" i="12"/>
  <c r="X674" i="12"/>
  <c r="W674" i="12"/>
  <c r="AD674" i="12" s="1"/>
  <c r="N729" i="29" s="1"/>
  <c r="V674" i="12"/>
  <c r="X672" i="12"/>
  <c r="W672" i="12"/>
  <c r="V672" i="12"/>
  <c r="N672" i="12"/>
  <c r="J672" i="12"/>
  <c r="H672" i="12" s="1"/>
  <c r="S672" i="12" s="1"/>
  <c r="X670" i="12"/>
  <c r="W670" i="12"/>
  <c r="AD670" i="12" s="1"/>
  <c r="N726" i="29" s="1"/>
  <c r="V670" i="12"/>
  <c r="X669" i="12"/>
  <c r="W669" i="12"/>
  <c r="AD669" i="12" s="1"/>
  <c r="N725" i="29" s="1"/>
  <c r="V669" i="12"/>
  <c r="X668" i="12"/>
  <c r="W668" i="12"/>
  <c r="AD668" i="12" s="1"/>
  <c r="N724" i="29" s="1"/>
  <c r="V668" i="12"/>
  <c r="X667" i="12"/>
  <c r="W667" i="12"/>
  <c r="AD667" i="12" s="1"/>
  <c r="N723" i="29" s="1"/>
  <c r="V667" i="12"/>
  <c r="X665" i="12"/>
  <c r="W665" i="12"/>
  <c r="V665" i="12"/>
  <c r="N665" i="12"/>
  <c r="J665" i="12"/>
  <c r="H665" i="12" s="1"/>
  <c r="X663" i="12"/>
  <c r="W663" i="12"/>
  <c r="AD663" i="12" s="1"/>
  <c r="N720" i="29" s="1"/>
  <c r="V663" i="12"/>
  <c r="X662" i="12"/>
  <c r="W662" i="12"/>
  <c r="AD662" i="12" s="1"/>
  <c r="N719" i="29" s="1"/>
  <c r="V662" i="12"/>
  <c r="X661" i="12"/>
  <c r="W661" i="12"/>
  <c r="AD661" i="12" s="1"/>
  <c r="N718" i="29" s="1"/>
  <c r="V661" i="12"/>
  <c r="X660" i="12"/>
  <c r="W660" i="12"/>
  <c r="AD660" i="12" s="1"/>
  <c r="N717" i="29" s="1"/>
  <c r="V660" i="12"/>
  <c r="X658" i="12"/>
  <c r="W658" i="12"/>
  <c r="V658" i="12"/>
  <c r="N658" i="12"/>
  <c r="J658" i="12"/>
  <c r="H658" i="12" s="1"/>
  <c r="X656" i="12"/>
  <c r="W656" i="12"/>
  <c r="AD656" i="12" s="1"/>
  <c r="N714" i="29" s="1"/>
  <c r="V656" i="12"/>
  <c r="X655" i="12"/>
  <c r="W655" i="12"/>
  <c r="AD655" i="12" s="1"/>
  <c r="N713" i="29" s="1"/>
  <c r="V655" i="12"/>
  <c r="X654" i="12"/>
  <c r="W654" i="12"/>
  <c r="AD654" i="12" s="1"/>
  <c r="N712" i="29" s="1"/>
  <c r="V654" i="12"/>
  <c r="X653" i="12"/>
  <c r="W653" i="12"/>
  <c r="AD653" i="12" s="1"/>
  <c r="N711" i="29" s="1"/>
  <c r="V653" i="12"/>
  <c r="X651" i="12"/>
  <c r="W651" i="12"/>
  <c r="V651" i="12"/>
  <c r="N651" i="12"/>
  <c r="J651" i="12"/>
  <c r="H651" i="12" s="1"/>
  <c r="X649" i="12"/>
  <c r="W649" i="12"/>
  <c r="AD649" i="12" s="1"/>
  <c r="N708" i="29" s="1"/>
  <c r="V649" i="12"/>
  <c r="X648" i="12"/>
  <c r="W648" i="12"/>
  <c r="AD648" i="12" s="1"/>
  <c r="N707" i="29" s="1"/>
  <c r="V648" i="12"/>
  <c r="X647" i="12"/>
  <c r="W647" i="12"/>
  <c r="AD647" i="12" s="1"/>
  <c r="N706" i="29" s="1"/>
  <c r="V647" i="12"/>
  <c r="X646" i="12"/>
  <c r="W646" i="12"/>
  <c r="AD646" i="12" s="1"/>
  <c r="N705" i="29" s="1"/>
  <c r="V646" i="12"/>
  <c r="X644" i="12"/>
  <c r="W644" i="12"/>
  <c r="AD644" i="12" s="1"/>
  <c r="V644" i="12"/>
  <c r="N644" i="12"/>
  <c r="J644" i="12"/>
  <c r="H644" i="12" s="1"/>
  <c r="T644" i="12" s="1"/>
  <c r="X642" i="12"/>
  <c r="W642" i="12"/>
  <c r="AD642" i="12" s="1"/>
  <c r="N702" i="29" s="1"/>
  <c r="V642" i="12"/>
  <c r="X641" i="12"/>
  <c r="W641" i="12"/>
  <c r="AD641" i="12" s="1"/>
  <c r="N701" i="29" s="1"/>
  <c r="V641" i="12"/>
  <c r="X640" i="12"/>
  <c r="W640" i="12"/>
  <c r="AD640" i="12" s="1"/>
  <c r="N700" i="29" s="1"/>
  <c r="V640" i="12"/>
  <c r="X639" i="12"/>
  <c r="W639" i="12"/>
  <c r="AD639" i="12" s="1"/>
  <c r="N699" i="29" s="1"/>
  <c r="V639" i="12"/>
  <c r="X637" i="12"/>
  <c r="W637" i="12"/>
  <c r="V637" i="12"/>
  <c r="N637" i="12"/>
  <c r="J637" i="12"/>
  <c r="H637" i="12" s="1"/>
  <c r="S639" i="12" s="1"/>
  <c r="X635" i="12"/>
  <c r="W635" i="12"/>
  <c r="AD635" i="12" s="1"/>
  <c r="N696" i="29" s="1"/>
  <c r="V635" i="12"/>
  <c r="X634" i="12"/>
  <c r="W634" i="12"/>
  <c r="AD634" i="12" s="1"/>
  <c r="N695" i="29" s="1"/>
  <c r="V634" i="12"/>
  <c r="X633" i="12"/>
  <c r="W633" i="12"/>
  <c r="AD633" i="12" s="1"/>
  <c r="N694" i="29" s="1"/>
  <c r="V633" i="12"/>
  <c r="X632" i="12"/>
  <c r="W632" i="12"/>
  <c r="AD632" i="12" s="1"/>
  <c r="N693" i="29" s="1"/>
  <c r="V632" i="12"/>
  <c r="X630" i="12"/>
  <c r="W630" i="12"/>
  <c r="AD631" i="12" s="1"/>
  <c r="N692" i="29" s="1"/>
  <c r="V630" i="12"/>
  <c r="N630" i="12"/>
  <c r="J630" i="12"/>
  <c r="H630" i="12" s="1"/>
  <c r="X628" i="12"/>
  <c r="W628" i="12"/>
  <c r="AD628" i="12" s="1"/>
  <c r="N690" i="29" s="1"/>
  <c r="V628" i="12"/>
  <c r="X627" i="12"/>
  <c r="W627" i="12"/>
  <c r="AD627" i="12" s="1"/>
  <c r="N689" i="29" s="1"/>
  <c r="V627" i="12"/>
  <c r="X626" i="12"/>
  <c r="W626" i="12"/>
  <c r="AD626" i="12" s="1"/>
  <c r="N688" i="29" s="1"/>
  <c r="V626" i="12"/>
  <c r="X625" i="12"/>
  <c r="W625" i="12"/>
  <c r="AD625" i="12" s="1"/>
  <c r="N687" i="29" s="1"/>
  <c r="V625" i="12"/>
  <c r="X623" i="12"/>
  <c r="W623" i="12"/>
  <c r="AD623" i="12" s="1"/>
  <c r="V623" i="12"/>
  <c r="N623" i="12"/>
  <c r="J623" i="12"/>
  <c r="H623" i="12" s="1"/>
  <c r="U627" i="12" s="1"/>
  <c r="X621" i="12"/>
  <c r="W621" i="12"/>
  <c r="AD621" i="12" s="1"/>
  <c r="N684" i="29" s="1"/>
  <c r="V621" i="12"/>
  <c r="X620" i="12"/>
  <c r="W620" i="12"/>
  <c r="AD620" i="12" s="1"/>
  <c r="N683" i="29" s="1"/>
  <c r="V620" i="12"/>
  <c r="X619" i="12"/>
  <c r="W619" i="12"/>
  <c r="AD619" i="12" s="1"/>
  <c r="N682" i="29" s="1"/>
  <c r="V619" i="12"/>
  <c r="X618" i="12"/>
  <c r="W618" i="12"/>
  <c r="AD618" i="12" s="1"/>
  <c r="N681" i="29" s="1"/>
  <c r="V618" i="12"/>
  <c r="X616" i="12"/>
  <c r="W616" i="12"/>
  <c r="V616" i="12"/>
  <c r="N616" i="12"/>
  <c r="J616" i="12"/>
  <c r="H616" i="12" s="1"/>
  <c r="U618" i="12" s="1"/>
  <c r="X614" i="12"/>
  <c r="W614" i="12"/>
  <c r="AD614" i="12" s="1"/>
  <c r="N678" i="29" s="1"/>
  <c r="V614" i="12"/>
  <c r="X613" i="12"/>
  <c r="W613" i="12"/>
  <c r="AD613" i="12" s="1"/>
  <c r="N677" i="29" s="1"/>
  <c r="V613" i="12"/>
  <c r="X612" i="12"/>
  <c r="W612" i="12"/>
  <c r="AD612" i="12" s="1"/>
  <c r="N676" i="29" s="1"/>
  <c r="V612" i="12"/>
  <c r="X611" i="12"/>
  <c r="W611" i="12"/>
  <c r="AD611" i="12" s="1"/>
  <c r="N675" i="29" s="1"/>
  <c r="V611" i="12"/>
  <c r="X609" i="12"/>
  <c r="W609" i="12"/>
  <c r="AD610" i="12" s="1"/>
  <c r="V609" i="12"/>
  <c r="N609" i="12"/>
  <c r="J609" i="12"/>
  <c r="H609" i="12" s="1"/>
  <c r="X607" i="12"/>
  <c r="W607" i="12"/>
  <c r="AD607" i="12" s="1"/>
  <c r="N672" i="29" s="1"/>
  <c r="V607" i="12"/>
  <c r="X606" i="12"/>
  <c r="W606" i="12"/>
  <c r="AD606" i="12" s="1"/>
  <c r="V606" i="12"/>
  <c r="X605" i="12"/>
  <c r="W605" i="12"/>
  <c r="AD605" i="12" s="1"/>
  <c r="N670" i="29" s="1"/>
  <c r="V605" i="12"/>
  <c r="X604" i="12"/>
  <c r="W604" i="12"/>
  <c r="AD604" i="12" s="1"/>
  <c r="N669" i="29" s="1"/>
  <c r="V604" i="12"/>
  <c r="X602" i="12"/>
  <c r="W602" i="12"/>
  <c r="V602" i="12"/>
  <c r="N602" i="12"/>
  <c r="J602" i="12"/>
  <c r="H602" i="12" s="1"/>
  <c r="X600" i="12"/>
  <c r="W600" i="12"/>
  <c r="AD600" i="12" s="1"/>
  <c r="N666" i="29" s="1"/>
  <c r="V600" i="12"/>
  <c r="X599" i="12"/>
  <c r="W599" i="12"/>
  <c r="AD599" i="12" s="1"/>
  <c r="N665" i="29" s="1"/>
  <c r="V599" i="12"/>
  <c r="X598" i="12"/>
  <c r="W598" i="12"/>
  <c r="AD598" i="12" s="1"/>
  <c r="N664" i="29" s="1"/>
  <c r="V598" i="12"/>
  <c r="X597" i="12"/>
  <c r="W597" i="12"/>
  <c r="AD597" i="12" s="1"/>
  <c r="N663" i="29" s="1"/>
  <c r="V597" i="12"/>
  <c r="X595" i="12"/>
  <c r="W595" i="12"/>
  <c r="V595" i="12"/>
  <c r="N595" i="12"/>
  <c r="J595" i="12"/>
  <c r="H595" i="12" s="1"/>
  <c r="X593" i="12"/>
  <c r="W593" i="12"/>
  <c r="AD593" i="12" s="1"/>
  <c r="N660" i="29" s="1"/>
  <c r="V593" i="12"/>
  <c r="X592" i="12"/>
  <c r="W592" i="12"/>
  <c r="AD592" i="12" s="1"/>
  <c r="N659" i="29" s="1"/>
  <c r="V592" i="12"/>
  <c r="X591" i="12"/>
  <c r="W591" i="12"/>
  <c r="AD591" i="12" s="1"/>
  <c r="N658" i="29" s="1"/>
  <c r="V591" i="12"/>
  <c r="X590" i="12"/>
  <c r="W590" i="12"/>
  <c r="AD590" i="12" s="1"/>
  <c r="V590" i="12"/>
  <c r="X588" i="12"/>
  <c r="W588" i="12"/>
  <c r="V588" i="12"/>
  <c r="N588" i="12"/>
  <c r="J588" i="12"/>
  <c r="H588" i="12" s="1"/>
  <c r="U593" i="12" s="1"/>
  <c r="X586" i="12"/>
  <c r="W586" i="12"/>
  <c r="AD586" i="12" s="1"/>
  <c r="N654" i="29" s="1"/>
  <c r="V586" i="12"/>
  <c r="X585" i="12"/>
  <c r="W585" i="12"/>
  <c r="AD585" i="12" s="1"/>
  <c r="N653" i="29" s="1"/>
  <c r="V585" i="12"/>
  <c r="X584" i="12"/>
  <c r="W584" i="12"/>
  <c r="AD584" i="12" s="1"/>
  <c r="N652" i="29" s="1"/>
  <c r="V584" i="12"/>
  <c r="X583" i="12"/>
  <c r="W583" i="12"/>
  <c r="AD583" i="12" s="1"/>
  <c r="N651" i="29" s="1"/>
  <c r="V583" i="12"/>
  <c r="X581" i="12"/>
  <c r="W581" i="12"/>
  <c r="V581" i="12"/>
  <c r="N581" i="12"/>
  <c r="J581" i="12"/>
  <c r="H581" i="12" s="1"/>
  <c r="X579" i="12"/>
  <c r="W579" i="12"/>
  <c r="AD579" i="12" s="1"/>
  <c r="N648" i="29" s="1"/>
  <c r="V579" i="12"/>
  <c r="X578" i="12"/>
  <c r="W578" i="12"/>
  <c r="AD578" i="12" s="1"/>
  <c r="V578" i="12"/>
  <c r="X577" i="12"/>
  <c r="W577" i="12"/>
  <c r="AD577" i="12" s="1"/>
  <c r="N646" i="29" s="1"/>
  <c r="V577" i="12"/>
  <c r="X576" i="12"/>
  <c r="W576" i="12"/>
  <c r="AD576" i="12" s="1"/>
  <c r="N645" i="29" s="1"/>
  <c r="V576" i="12"/>
  <c r="X574" i="12"/>
  <c r="W574" i="12"/>
  <c r="V574" i="12"/>
  <c r="N574" i="12"/>
  <c r="J574" i="12"/>
  <c r="H574" i="12" s="1"/>
  <c r="U579" i="12" s="1"/>
  <c r="X572" i="12"/>
  <c r="W572" i="12"/>
  <c r="AD572" i="12" s="1"/>
  <c r="N642" i="29" s="1"/>
  <c r="V572" i="12"/>
  <c r="X571" i="12"/>
  <c r="W571" i="12"/>
  <c r="AD571" i="12" s="1"/>
  <c r="N641" i="29" s="1"/>
  <c r="V571" i="12"/>
  <c r="X570" i="12"/>
  <c r="W570" i="12"/>
  <c r="AD570" i="12" s="1"/>
  <c r="N640" i="29" s="1"/>
  <c r="V570" i="12"/>
  <c r="X569" i="12"/>
  <c r="W569" i="12"/>
  <c r="AD569" i="12" s="1"/>
  <c r="N639" i="29" s="1"/>
  <c r="V569" i="12"/>
  <c r="X567" i="12"/>
  <c r="W567" i="12"/>
  <c r="V567" i="12"/>
  <c r="N567" i="12"/>
  <c r="J567" i="12"/>
  <c r="H567" i="12" s="1"/>
  <c r="X565" i="12"/>
  <c r="W565" i="12"/>
  <c r="AD565" i="12" s="1"/>
  <c r="N636" i="29" s="1"/>
  <c r="V565" i="12"/>
  <c r="X564" i="12"/>
  <c r="W564" i="12"/>
  <c r="AD564" i="12" s="1"/>
  <c r="N635" i="29" s="1"/>
  <c r="V564" i="12"/>
  <c r="X563" i="12"/>
  <c r="W563" i="12"/>
  <c r="AD563" i="12" s="1"/>
  <c r="N634" i="29" s="1"/>
  <c r="V563" i="12"/>
  <c r="X562" i="12"/>
  <c r="W562" i="12"/>
  <c r="AD562" i="12" s="1"/>
  <c r="V562" i="12"/>
  <c r="X560" i="12"/>
  <c r="W560" i="12"/>
  <c r="V560" i="12"/>
  <c r="N560" i="12"/>
  <c r="J560" i="12"/>
  <c r="H560" i="12" s="1"/>
  <c r="X558" i="12"/>
  <c r="W558" i="12"/>
  <c r="AD558" i="12" s="1"/>
  <c r="N624" i="29" s="1"/>
  <c r="V558" i="12"/>
  <c r="X557" i="12"/>
  <c r="W557" i="12"/>
  <c r="AD557" i="12" s="1"/>
  <c r="N623" i="29" s="1"/>
  <c r="V557" i="12"/>
  <c r="X556" i="12"/>
  <c r="W556" i="12"/>
  <c r="AD556" i="12" s="1"/>
  <c r="V556" i="12"/>
  <c r="X555" i="12"/>
  <c r="W555" i="12"/>
  <c r="AD555" i="12" s="1"/>
  <c r="N621" i="29" s="1"/>
  <c r="V555" i="12"/>
  <c r="X553" i="12"/>
  <c r="W553" i="12"/>
  <c r="V553" i="12"/>
  <c r="N553" i="12"/>
  <c r="J553" i="12"/>
  <c r="H553" i="12" s="1"/>
  <c r="T557" i="12" s="1"/>
  <c r="X551" i="12"/>
  <c r="W551" i="12"/>
  <c r="AD551" i="12" s="1"/>
  <c r="N618" i="29" s="1"/>
  <c r="V551" i="12"/>
  <c r="X550" i="12"/>
  <c r="W550" i="12"/>
  <c r="AD550" i="12" s="1"/>
  <c r="V550" i="12"/>
  <c r="X549" i="12"/>
  <c r="W549" i="12"/>
  <c r="AD549" i="12" s="1"/>
  <c r="N616" i="29" s="1"/>
  <c r="V549" i="12"/>
  <c r="X548" i="12"/>
  <c r="W548" i="12"/>
  <c r="AD548" i="12" s="1"/>
  <c r="N615" i="29" s="1"/>
  <c r="V548" i="12"/>
  <c r="X546" i="12"/>
  <c r="W546" i="12"/>
  <c r="V546" i="12"/>
  <c r="N546" i="12"/>
  <c r="J546" i="12"/>
  <c r="H546" i="12" s="1"/>
  <c r="X544" i="12"/>
  <c r="W544" i="12"/>
  <c r="AD544" i="12" s="1"/>
  <c r="V544" i="12"/>
  <c r="X543" i="12"/>
  <c r="W543" i="12"/>
  <c r="AD543" i="12" s="1"/>
  <c r="N611" i="29" s="1"/>
  <c r="V543" i="12"/>
  <c r="X542" i="12"/>
  <c r="W542" i="12"/>
  <c r="AD542" i="12" s="1"/>
  <c r="V542" i="12"/>
  <c r="X541" i="12"/>
  <c r="W541" i="12"/>
  <c r="AD541" i="12" s="1"/>
  <c r="N609" i="29" s="1"/>
  <c r="V541" i="12"/>
  <c r="X539" i="12"/>
  <c r="W539" i="12"/>
  <c r="V539" i="12"/>
  <c r="N539" i="12"/>
  <c r="J539" i="12"/>
  <c r="H539" i="12" s="1"/>
  <c r="U544" i="12" s="1"/>
  <c r="X537" i="12"/>
  <c r="W537" i="12"/>
  <c r="AD537" i="12" s="1"/>
  <c r="N606" i="29" s="1"/>
  <c r="V537" i="12"/>
  <c r="X536" i="12"/>
  <c r="W536" i="12"/>
  <c r="AD536" i="12" s="1"/>
  <c r="V536" i="12"/>
  <c r="X535" i="12"/>
  <c r="W535" i="12"/>
  <c r="AD535" i="12" s="1"/>
  <c r="N604" i="29" s="1"/>
  <c r="V535" i="12"/>
  <c r="X534" i="12"/>
  <c r="W534" i="12"/>
  <c r="AD534" i="12" s="1"/>
  <c r="N603" i="29" s="1"/>
  <c r="V534" i="12"/>
  <c r="X532" i="12"/>
  <c r="W532" i="12"/>
  <c r="V532" i="12"/>
  <c r="N532" i="12"/>
  <c r="J532" i="12"/>
  <c r="H532" i="12" s="1"/>
  <c r="X530" i="12"/>
  <c r="W530" i="12"/>
  <c r="AD530" i="12" s="1"/>
  <c r="N600" i="29" s="1"/>
  <c r="V530" i="12"/>
  <c r="X529" i="12"/>
  <c r="W529" i="12"/>
  <c r="AD529" i="12" s="1"/>
  <c r="N599" i="29" s="1"/>
  <c r="V529" i="12"/>
  <c r="X528" i="12"/>
  <c r="W528" i="12"/>
  <c r="AD528" i="12" s="1"/>
  <c r="V528" i="12"/>
  <c r="X527" i="12"/>
  <c r="W527" i="12"/>
  <c r="AD527" i="12" s="1"/>
  <c r="N597" i="29" s="1"/>
  <c r="V527" i="12"/>
  <c r="X525" i="12"/>
  <c r="W525" i="12"/>
  <c r="AD525" i="12" s="1"/>
  <c r="V525" i="12"/>
  <c r="N525" i="12"/>
  <c r="J525" i="12"/>
  <c r="H525" i="12" s="1"/>
  <c r="T530" i="12" s="1"/>
  <c r="X523" i="12"/>
  <c r="W523" i="12"/>
  <c r="AD523" i="12" s="1"/>
  <c r="N594" i="29" s="1"/>
  <c r="V523" i="12"/>
  <c r="X522" i="12"/>
  <c r="W522" i="12"/>
  <c r="AD522" i="12" s="1"/>
  <c r="V522" i="12"/>
  <c r="X521" i="12"/>
  <c r="W521" i="12"/>
  <c r="AD521" i="12" s="1"/>
  <c r="N592" i="29" s="1"/>
  <c r="V521" i="12"/>
  <c r="X520" i="12"/>
  <c r="W520" i="12"/>
  <c r="AD520" i="12" s="1"/>
  <c r="N591" i="29" s="1"/>
  <c r="V520" i="12"/>
  <c r="X518" i="12"/>
  <c r="W518" i="12"/>
  <c r="AD518" i="12" s="1"/>
  <c r="V518" i="12"/>
  <c r="N518" i="12"/>
  <c r="J518" i="12"/>
  <c r="H518" i="12" s="1"/>
  <c r="T523" i="12" s="1"/>
  <c r="X516" i="12"/>
  <c r="W516" i="12"/>
  <c r="AD516" i="12" s="1"/>
  <c r="V516" i="12"/>
  <c r="X515" i="12"/>
  <c r="W515" i="12"/>
  <c r="AD515" i="12" s="1"/>
  <c r="N587" i="29" s="1"/>
  <c r="V515" i="12"/>
  <c r="X514" i="12"/>
  <c r="W514" i="12"/>
  <c r="AD514" i="12" s="1"/>
  <c r="V514" i="12"/>
  <c r="X513" i="12"/>
  <c r="W513" i="12"/>
  <c r="AD513" i="12" s="1"/>
  <c r="N585" i="29" s="1"/>
  <c r="V513" i="12"/>
  <c r="X511" i="12"/>
  <c r="W511" i="12"/>
  <c r="V511" i="12"/>
  <c r="N511" i="12"/>
  <c r="J511" i="12"/>
  <c r="H511" i="12" s="1"/>
  <c r="U513" i="12" s="1"/>
  <c r="X509" i="12"/>
  <c r="W509" i="12"/>
  <c r="AD509" i="12" s="1"/>
  <c r="N582" i="29" s="1"/>
  <c r="V509" i="12"/>
  <c r="X508" i="12"/>
  <c r="W508" i="12"/>
  <c r="AD508" i="12" s="1"/>
  <c r="V508" i="12"/>
  <c r="X507" i="12"/>
  <c r="W507" i="12"/>
  <c r="AD507" i="12" s="1"/>
  <c r="N580" i="29" s="1"/>
  <c r="V507" i="12"/>
  <c r="X506" i="12"/>
  <c r="W506" i="12"/>
  <c r="AD506" i="12" s="1"/>
  <c r="N579" i="29" s="1"/>
  <c r="V506" i="12"/>
  <c r="X504" i="12"/>
  <c r="W504" i="12"/>
  <c r="V504" i="12"/>
  <c r="N504" i="12"/>
  <c r="J504" i="12"/>
  <c r="H504" i="12" s="1"/>
  <c r="S504" i="12" s="1"/>
  <c r="X502" i="12"/>
  <c r="W502" i="12"/>
  <c r="AD502" i="12" s="1"/>
  <c r="N576" i="29" s="1"/>
  <c r="V502" i="12"/>
  <c r="X501" i="12"/>
  <c r="W501" i="12"/>
  <c r="AD501" i="12" s="1"/>
  <c r="V501" i="12"/>
  <c r="X500" i="12"/>
  <c r="W500" i="12"/>
  <c r="AD500" i="12" s="1"/>
  <c r="V500" i="12"/>
  <c r="X499" i="12"/>
  <c r="W499" i="12"/>
  <c r="AD499" i="12" s="1"/>
  <c r="N573" i="29" s="1"/>
  <c r="V499" i="12"/>
  <c r="X497" i="12"/>
  <c r="W497" i="12"/>
  <c r="V497" i="12"/>
  <c r="N497" i="12"/>
  <c r="J497" i="12"/>
  <c r="H497" i="12" s="1"/>
  <c r="X495" i="12"/>
  <c r="W495" i="12"/>
  <c r="AD495" i="12" s="1"/>
  <c r="N570" i="29" s="1"/>
  <c r="V495" i="12"/>
  <c r="X494" i="12"/>
  <c r="W494" i="12"/>
  <c r="AD494" i="12" s="1"/>
  <c r="N569" i="29" s="1"/>
  <c r="V494" i="12"/>
  <c r="X493" i="12"/>
  <c r="W493" i="12"/>
  <c r="AD493" i="12" s="1"/>
  <c r="N568" i="29" s="1"/>
  <c r="V493" i="12"/>
  <c r="X492" i="12"/>
  <c r="W492" i="12"/>
  <c r="AD492" i="12" s="1"/>
  <c r="N567" i="29" s="1"/>
  <c r="V492" i="12"/>
  <c r="X490" i="12"/>
  <c r="W490" i="12"/>
  <c r="V490" i="12"/>
  <c r="N490" i="12"/>
  <c r="J490" i="12"/>
  <c r="H490" i="12" s="1"/>
  <c r="X488" i="12"/>
  <c r="W488" i="12"/>
  <c r="AD488" i="12" s="1"/>
  <c r="V488" i="12"/>
  <c r="X487" i="12"/>
  <c r="W487" i="12"/>
  <c r="AD487" i="12" s="1"/>
  <c r="N563" i="29" s="1"/>
  <c r="V487" i="12"/>
  <c r="X486" i="12"/>
  <c r="W486" i="12"/>
  <c r="AD486" i="12" s="1"/>
  <c r="N562" i="29" s="1"/>
  <c r="V486" i="12"/>
  <c r="X485" i="12"/>
  <c r="W485" i="12"/>
  <c r="AD485" i="12" s="1"/>
  <c r="N561" i="29" s="1"/>
  <c r="V485" i="12"/>
  <c r="X483" i="12"/>
  <c r="W483" i="12"/>
  <c r="AD484" i="12" s="1"/>
  <c r="V483" i="12"/>
  <c r="N483" i="12"/>
  <c r="J483" i="12"/>
  <c r="H483" i="12" s="1"/>
  <c r="X481" i="12"/>
  <c r="W481" i="12"/>
  <c r="AD481" i="12" s="1"/>
  <c r="N558" i="29" s="1"/>
  <c r="V481" i="12"/>
  <c r="X480" i="12"/>
  <c r="W480" i="12"/>
  <c r="AD480" i="12" s="1"/>
  <c r="N557" i="29" s="1"/>
  <c r="V480" i="12"/>
  <c r="X479" i="12"/>
  <c r="W479" i="12"/>
  <c r="AD479" i="12" s="1"/>
  <c r="N556" i="29" s="1"/>
  <c r="V479" i="12"/>
  <c r="X478" i="12"/>
  <c r="W478" i="12"/>
  <c r="AD478" i="12" s="1"/>
  <c r="V478" i="12"/>
  <c r="X476" i="12"/>
  <c r="W476" i="12"/>
  <c r="AD477" i="12" s="1"/>
  <c r="V476" i="12"/>
  <c r="N476" i="12"/>
  <c r="J476" i="12"/>
  <c r="H476" i="12" s="1"/>
  <c r="T476" i="12" s="1"/>
  <c r="X474" i="12"/>
  <c r="W474" i="12"/>
  <c r="AD474" i="12" s="1"/>
  <c r="N552" i="29" s="1"/>
  <c r="V474" i="12"/>
  <c r="X473" i="12"/>
  <c r="W473" i="12"/>
  <c r="AD473" i="12" s="1"/>
  <c r="N551" i="29" s="1"/>
  <c r="V473" i="12"/>
  <c r="X472" i="12"/>
  <c r="W472" i="12"/>
  <c r="AD472" i="12" s="1"/>
  <c r="V472" i="12"/>
  <c r="X471" i="12"/>
  <c r="W471" i="12"/>
  <c r="AD471" i="12" s="1"/>
  <c r="N549" i="29" s="1"/>
  <c r="V471" i="12"/>
  <c r="X469" i="12"/>
  <c r="W469" i="12"/>
  <c r="AD470" i="12" s="1"/>
  <c r="V469" i="12"/>
  <c r="N469" i="12"/>
  <c r="J469" i="12"/>
  <c r="H469" i="12" s="1"/>
  <c r="U474" i="12" s="1"/>
  <c r="X467" i="12"/>
  <c r="W467" i="12"/>
  <c r="AD467" i="12" s="1"/>
  <c r="N546" i="29" s="1"/>
  <c r="V467" i="12"/>
  <c r="X466" i="12"/>
  <c r="W466" i="12"/>
  <c r="AD466" i="12" s="1"/>
  <c r="N545" i="29" s="1"/>
  <c r="V466" i="12"/>
  <c r="X465" i="12"/>
  <c r="W465" i="12"/>
  <c r="AD465" i="12" s="1"/>
  <c r="N544" i="29" s="1"/>
  <c r="V465" i="12"/>
  <c r="X464" i="12"/>
  <c r="W464" i="12"/>
  <c r="AD464" i="12" s="1"/>
  <c r="N543" i="29" s="1"/>
  <c r="V464" i="12"/>
  <c r="X462" i="12"/>
  <c r="W462" i="12"/>
  <c r="AD463" i="12" s="1"/>
  <c r="V462" i="12"/>
  <c r="N462" i="12"/>
  <c r="J462" i="12"/>
  <c r="H462" i="12" s="1"/>
  <c r="X460" i="12"/>
  <c r="W460" i="12"/>
  <c r="AD460" i="12" s="1"/>
  <c r="V460" i="12"/>
  <c r="X459" i="12"/>
  <c r="W459" i="12"/>
  <c r="AD459" i="12" s="1"/>
  <c r="N539" i="29" s="1"/>
  <c r="V459" i="12"/>
  <c r="X458" i="12"/>
  <c r="W458" i="12"/>
  <c r="AD458" i="12" s="1"/>
  <c r="N538" i="29" s="1"/>
  <c r="V458" i="12"/>
  <c r="X457" i="12"/>
  <c r="W457" i="12"/>
  <c r="AD457" i="12" s="1"/>
  <c r="N537" i="29" s="1"/>
  <c r="V457" i="12"/>
  <c r="X455" i="12"/>
  <c r="W455" i="12"/>
  <c r="V455" i="12"/>
  <c r="N455" i="12"/>
  <c r="J455" i="12"/>
  <c r="H455" i="12" s="1"/>
  <c r="X453" i="12"/>
  <c r="W453" i="12"/>
  <c r="AD453" i="12" s="1"/>
  <c r="N534" i="29" s="1"/>
  <c r="V453" i="12"/>
  <c r="X452" i="12"/>
  <c r="W452" i="12"/>
  <c r="AD452" i="12" s="1"/>
  <c r="N533" i="29" s="1"/>
  <c r="V452" i="12"/>
  <c r="X451" i="12"/>
  <c r="W451" i="12"/>
  <c r="AD451" i="12" s="1"/>
  <c r="N532" i="29" s="1"/>
  <c r="V451" i="12"/>
  <c r="X450" i="12"/>
  <c r="W450" i="12"/>
  <c r="AD450" i="12" s="1"/>
  <c r="N531" i="29" s="1"/>
  <c r="V450" i="12"/>
  <c r="X448" i="12"/>
  <c r="W448" i="12"/>
  <c r="AD449" i="12" s="1"/>
  <c r="N530" i="29" s="1"/>
  <c r="V448" i="12"/>
  <c r="N448" i="12"/>
  <c r="J448" i="12"/>
  <c r="H448" i="12" s="1"/>
  <c r="U452" i="12" s="1"/>
  <c r="X446" i="12"/>
  <c r="W446" i="12"/>
  <c r="AD446" i="12" s="1"/>
  <c r="N528" i="29" s="1"/>
  <c r="V446" i="12"/>
  <c r="X445" i="12"/>
  <c r="W445" i="12"/>
  <c r="AD445" i="12" s="1"/>
  <c r="N527" i="29" s="1"/>
  <c r="V445" i="12"/>
  <c r="X444" i="12"/>
  <c r="W444" i="12"/>
  <c r="AD444" i="12" s="1"/>
  <c r="V444" i="12"/>
  <c r="X443" i="12"/>
  <c r="W443" i="12"/>
  <c r="AD443" i="12" s="1"/>
  <c r="N525" i="29" s="1"/>
  <c r="V443" i="12"/>
  <c r="X441" i="12"/>
  <c r="W441" i="12"/>
  <c r="AD442" i="12" s="1"/>
  <c r="V441" i="12"/>
  <c r="N441" i="12"/>
  <c r="J441" i="12"/>
  <c r="H441" i="12" s="1"/>
  <c r="X439" i="12"/>
  <c r="W439" i="12"/>
  <c r="AD439" i="12" s="1"/>
  <c r="N522" i="29" s="1"/>
  <c r="V439" i="12"/>
  <c r="X438" i="12"/>
  <c r="W438" i="12"/>
  <c r="AD438" i="12" s="1"/>
  <c r="N521" i="29" s="1"/>
  <c r="V438" i="12"/>
  <c r="X437" i="12"/>
  <c r="W437" i="12"/>
  <c r="AD437" i="12" s="1"/>
  <c r="N520" i="29" s="1"/>
  <c r="V437" i="12"/>
  <c r="X436" i="12"/>
  <c r="W436" i="12"/>
  <c r="AD436" i="12" s="1"/>
  <c r="N519" i="29" s="1"/>
  <c r="V436" i="12"/>
  <c r="X434" i="12"/>
  <c r="W434" i="12"/>
  <c r="AD435" i="12" s="1"/>
  <c r="N518" i="29" s="1"/>
  <c r="V434" i="12"/>
  <c r="N434" i="12"/>
  <c r="J434" i="12"/>
  <c r="H434" i="12" s="1"/>
  <c r="T438" i="12" s="1"/>
  <c r="X432" i="12"/>
  <c r="W432" i="12"/>
  <c r="AD432" i="12" s="1"/>
  <c r="V432" i="12"/>
  <c r="X431" i="12"/>
  <c r="W431" i="12"/>
  <c r="AD431" i="12" s="1"/>
  <c r="N515" i="29" s="1"/>
  <c r="V431" i="12"/>
  <c r="X430" i="12"/>
  <c r="W430" i="12"/>
  <c r="AD430" i="12" s="1"/>
  <c r="N514" i="29" s="1"/>
  <c r="V430" i="12"/>
  <c r="X429" i="12"/>
  <c r="W429" i="12"/>
  <c r="AD429" i="12" s="1"/>
  <c r="N513" i="29" s="1"/>
  <c r="V429" i="12"/>
  <c r="X427" i="12"/>
  <c r="W427" i="12"/>
  <c r="V427" i="12"/>
  <c r="N427" i="12"/>
  <c r="J427" i="12"/>
  <c r="H427" i="12" s="1"/>
  <c r="T431" i="12" s="1"/>
  <c r="X425" i="12"/>
  <c r="W425" i="12"/>
  <c r="AD425" i="12" s="1"/>
  <c r="N510" i="29" s="1"/>
  <c r="V425" i="12"/>
  <c r="X424" i="12"/>
  <c r="W424" i="12"/>
  <c r="AD424" i="12" s="1"/>
  <c r="N509" i="29" s="1"/>
  <c r="V424" i="12"/>
  <c r="X423" i="12"/>
  <c r="W423" i="12"/>
  <c r="AD423" i="12" s="1"/>
  <c r="N508" i="29" s="1"/>
  <c r="V423" i="12"/>
  <c r="X422" i="12"/>
  <c r="W422" i="12"/>
  <c r="AD422" i="12" s="1"/>
  <c r="N507" i="29" s="1"/>
  <c r="V422" i="12"/>
  <c r="X420" i="12"/>
  <c r="W420" i="12"/>
  <c r="AD420" i="12" s="1"/>
  <c r="V420" i="12"/>
  <c r="N420" i="12"/>
  <c r="J420" i="12"/>
  <c r="H420" i="12" s="1"/>
  <c r="S424" i="12" s="1"/>
  <c r="X418" i="12"/>
  <c r="W418" i="12"/>
  <c r="AD418" i="12" s="1"/>
  <c r="N504" i="29" s="1"/>
  <c r="V418" i="12"/>
  <c r="X417" i="12"/>
  <c r="W417" i="12"/>
  <c r="AD417" i="12" s="1"/>
  <c r="N503" i="29" s="1"/>
  <c r="V417" i="12"/>
  <c r="X416" i="12"/>
  <c r="W416" i="12"/>
  <c r="AD416" i="12" s="1"/>
  <c r="N502" i="29" s="1"/>
  <c r="V416" i="12"/>
  <c r="X415" i="12"/>
  <c r="W415" i="12"/>
  <c r="AD415" i="12" s="1"/>
  <c r="N501" i="29" s="1"/>
  <c r="V415" i="12"/>
  <c r="X413" i="12"/>
  <c r="W413" i="12"/>
  <c r="AD413" i="12" s="1"/>
  <c r="N499" i="29" s="1"/>
  <c r="V413" i="12"/>
  <c r="N413" i="12"/>
  <c r="J413" i="12"/>
  <c r="H413" i="12" s="1"/>
  <c r="T415" i="12" s="1"/>
  <c r="X411" i="12"/>
  <c r="W411" i="12"/>
  <c r="AD411" i="12" s="1"/>
  <c r="N498" i="29" s="1"/>
  <c r="V411" i="12"/>
  <c r="X410" i="12"/>
  <c r="W410" i="12"/>
  <c r="AD410" i="12" s="1"/>
  <c r="N497" i="29" s="1"/>
  <c r="V410" i="12"/>
  <c r="X409" i="12"/>
  <c r="W409" i="12"/>
  <c r="AD409" i="12" s="1"/>
  <c r="N496" i="29" s="1"/>
  <c r="V409" i="12"/>
  <c r="X408" i="12"/>
  <c r="W408" i="12"/>
  <c r="AD408" i="12" s="1"/>
  <c r="N495" i="29" s="1"/>
  <c r="V408" i="12"/>
  <c r="X406" i="12"/>
  <c r="W406" i="12"/>
  <c r="AD406" i="12" s="1"/>
  <c r="N493" i="29" s="1"/>
  <c r="V406" i="12"/>
  <c r="N406" i="12"/>
  <c r="J406" i="12"/>
  <c r="H406" i="12" s="1"/>
  <c r="X404" i="12"/>
  <c r="W404" i="12"/>
  <c r="AD404" i="12" s="1"/>
  <c r="N492" i="29" s="1"/>
  <c r="V404" i="12"/>
  <c r="X403" i="12"/>
  <c r="W403" i="12"/>
  <c r="AD403" i="12" s="1"/>
  <c r="N491" i="29" s="1"/>
  <c r="V403" i="12"/>
  <c r="X402" i="12"/>
  <c r="W402" i="12"/>
  <c r="AD402" i="12" s="1"/>
  <c r="N490" i="29" s="1"/>
  <c r="V402" i="12"/>
  <c r="X401" i="12"/>
  <c r="W401" i="12"/>
  <c r="AD401" i="12" s="1"/>
  <c r="N489" i="29" s="1"/>
  <c r="V401" i="12"/>
  <c r="X399" i="12"/>
  <c r="W399" i="12"/>
  <c r="AD399" i="12" s="1"/>
  <c r="N487" i="29" s="1"/>
  <c r="V399" i="12"/>
  <c r="N399" i="12"/>
  <c r="J399" i="12"/>
  <c r="H399" i="12" s="1"/>
  <c r="S404" i="12" s="1"/>
  <c r="X397" i="12"/>
  <c r="W397" i="12"/>
  <c r="AD397" i="12" s="1"/>
  <c r="N486" i="29" s="1"/>
  <c r="V397" i="12"/>
  <c r="X396" i="12"/>
  <c r="W396" i="12"/>
  <c r="AD396" i="12" s="1"/>
  <c r="V396" i="12"/>
  <c r="X395" i="12"/>
  <c r="W395" i="12"/>
  <c r="AD395" i="12" s="1"/>
  <c r="V395" i="12"/>
  <c r="X394" i="12"/>
  <c r="W394" i="12"/>
  <c r="AD394" i="12" s="1"/>
  <c r="N483" i="29" s="1"/>
  <c r="V394" i="12"/>
  <c r="X392" i="12"/>
  <c r="W392" i="12"/>
  <c r="AD392" i="12" s="1"/>
  <c r="V392" i="12"/>
  <c r="N392" i="12"/>
  <c r="J392" i="12"/>
  <c r="H392" i="12" s="1"/>
  <c r="S397" i="12" s="1"/>
  <c r="X390" i="12"/>
  <c r="W390" i="12"/>
  <c r="AD390" i="12" s="1"/>
  <c r="N480" i="29" s="1"/>
  <c r="V390" i="12"/>
  <c r="X389" i="12"/>
  <c r="W389" i="12"/>
  <c r="AD389" i="12" s="1"/>
  <c r="N479" i="29" s="1"/>
  <c r="V389" i="12"/>
  <c r="X388" i="12"/>
  <c r="W388" i="12"/>
  <c r="AD388" i="12" s="1"/>
  <c r="N478" i="29" s="1"/>
  <c r="V388" i="12"/>
  <c r="X387" i="12"/>
  <c r="W387" i="12"/>
  <c r="AD387" i="12" s="1"/>
  <c r="N477" i="29" s="1"/>
  <c r="V387" i="12"/>
  <c r="X385" i="12"/>
  <c r="W385" i="12"/>
  <c r="AD385" i="12" s="1"/>
  <c r="V385" i="12"/>
  <c r="N385" i="12"/>
  <c r="J385" i="12"/>
  <c r="H385" i="12" s="1"/>
  <c r="U387" i="12" s="1"/>
  <c r="X383" i="12"/>
  <c r="W383" i="12"/>
  <c r="AD383" i="12" s="1"/>
  <c r="V383" i="12"/>
  <c r="X382" i="12"/>
  <c r="W382" i="12"/>
  <c r="AD382" i="12" s="1"/>
  <c r="N473" i="29" s="1"/>
  <c r="V382" i="12"/>
  <c r="X381" i="12"/>
  <c r="W381" i="12"/>
  <c r="AD381" i="12" s="1"/>
  <c r="N472" i="29" s="1"/>
  <c r="V381" i="12"/>
  <c r="X380" i="12"/>
  <c r="W380" i="12"/>
  <c r="AD380" i="12" s="1"/>
  <c r="V380" i="12"/>
  <c r="X378" i="12"/>
  <c r="W378" i="12"/>
  <c r="AD378" i="12" s="1"/>
  <c r="N469" i="29" s="1"/>
  <c r="V378" i="12"/>
  <c r="N378" i="12"/>
  <c r="J378" i="12"/>
  <c r="H378" i="12" s="1"/>
  <c r="S381" i="12" s="1"/>
  <c r="X376" i="12"/>
  <c r="W376" i="12"/>
  <c r="AD376" i="12" s="1"/>
  <c r="N468" i="29" s="1"/>
  <c r="V376" i="12"/>
  <c r="X375" i="12"/>
  <c r="W375" i="12"/>
  <c r="AD375" i="12" s="1"/>
  <c r="N467" i="29" s="1"/>
  <c r="V375" i="12"/>
  <c r="X374" i="12"/>
  <c r="W374" i="12"/>
  <c r="AD374" i="12" s="1"/>
  <c r="N466" i="29" s="1"/>
  <c r="V374" i="12"/>
  <c r="X373" i="12"/>
  <c r="W373" i="12"/>
  <c r="AD373" i="12" s="1"/>
  <c r="N465" i="29" s="1"/>
  <c r="V373" i="12"/>
  <c r="X371" i="12"/>
  <c r="W371" i="12"/>
  <c r="AD371" i="12" s="1"/>
  <c r="N463" i="29" s="1"/>
  <c r="V371" i="12"/>
  <c r="N371" i="12"/>
  <c r="J371" i="12"/>
  <c r="H371" i="12" s="1"/>
  <c r="S376" i="12" s="1"/>
  <c r="X169" i="12"/>
  <c r="W169" i="12"/>
  <c r="AD169" i="12" s="1"/>
  <c r="V169" i="12"/>
  <c r="X168" i="12"/>
  <c r="W168" i="12"/>
  <c r="AD168" i="12" s="1"/>
  <c r="V168" i="12"/>
  <c r="X167" i="12"/>
  <c r="W167" i="12"/>
  <c r="AD167" i="12" s="1"/>
  <c r="V167" i="12"/>
  <c r="X166" i="12"/>
  <c r="W166" i="12"/>
  <c r="AD166" i="12" s="1"/>
  <c r="V166" i="12"/>
  <c r="X164" i="12"/>
  <c r="W164" i="12"/>
  <c r="AD165" i="12" s="1"/>
  <c r="V164" i="12"/>
  <c r="N164" i="12"/>
  <c r="J164" i="12"/>
  <c r="H164" i="12" s="1"/>
  <c r="U169" i="12" s="1"/>
  <c r="X163" i="12"/>
  <c r="W163" i="12"/>
  <c r="AD163" i="12" s="1"/>
  <c r="V163" i="12"/>
  <c r="X162" i="12"/>
  <c r="W162" i="12"/>
  <c r="AD162" i="12" s="1"/>
  <c r="V162" i="12"/>
  <c r="X161" i="12"/>
  <c r="W161" i="12"/>
  <c r="AD161" i="12" s="1"/>
  <c r="V161" i="12"/>
  <c r="X160" i="12"/>
  <c r="W160" i="12"/>
  <c r="AD160" i="12" s="1"/>
  <c r="V160" i="12"/>
  <c r="X158" i="12"/>
  <c r="W158" i="12"/>
  <c r="V158" i="12"/>
  <c r="N158" i="12"/>
  <c r="J158" i="12"/>
  <c r="H158" i="12" s="1"/>
  <c r="U163" i="12" s="1"/>
  <c r="X150" i="12"/>
  <c r="W150" i="12"/>
  <c r="AD150" i="12" s="1"/>
  <c r="V150" i="12"/>
  <c r="X149" i="12"/>
  <c r="W149" i="12"/>
  <c r="AD149" i="12" s="1"/>
  <c r="V149" i="12"/>
  <c r="X148" i="12"/>
  <c r="W148" i="12"/>
  <c r="AD148" i="12" s="1"/>
  <c r="V148" i="12"/>
  <c r="X147" i="12"/>
  <c r="W147" i="12"/>
  <c r="AD147" i="12" s="1"/>
  <c r="V147" i="12"/>
  <c r="X145" i="12"/>
  <c r="W145" i="12"/>
  <c r="AD146" i="12" s="1"/>
  <c r="V145" i="12"/>
  <c r="N145" i="12"/>
  <c r="J145" i="12"/>
  <c r="H145" i="12" s="1"/>
  <c r="U150" i="12" s="1"/>
  <c r="X144" i="12"/>
  <c r="W144" i="12"/>
  <c r="AD144" i="12" s="1"/>
  <c r="V144" i="12"/>
  <c r="X143" i="12"/>
  <c r="W143" i="12"/>
  <c r="AD143" i="12" s="1"/>
  <c r="V143" i="12"/>
  <c r="X142" i="12"/>
  <c r="W142" i="12"/>
  <c r="AD142" i="12" s="1"/>
  <c r="V142" i="12"/>
  <c r="X141" i="12"/>
  <c r="W141" i="12"/>
  <c r="AD141" i="12" s="1"/>
  <c r="V141" i="12"/>
  <c r="X139" i="12"/>
  <c r="W139" i="12"/>
  <c r="AD140" i="12" s="1"/>
  <c r="V139" i="12"/>
  <c r="N139" i="12"/>
  <c r="J139" i="12"/>
  <c r="H139" i="12" s="1"/>
  <c r="U144" i="12" s="1"/>
  <c r="X137" i="12"/>
  <c r="W137" i="12"/>
  <c r="AD137" i="12" s="1"/>
  <c r="N780" i="29" s="1"/>
  <c r="V137" i="12"/>
  <c r="X136" i="12"/>
  <c r="W136" i="12"/>
  <c r="AD136" i="12" s="1"/>
  <c r="N779" i="29" s="1"/>
  <c r="V136" i="12"/>
  <c r="X135" i="12"/>
  <c r="W135" i="12"/>
  <c r="AD135" i="12" s="1"/>
  <c r="N778" i="29" s="1"/>
  <c r="V135" i="12"/>
  <c r="X134" i="12"/>
  <c r="W134" i="12"/>
  <c r="AD134" i="12" s="1"/>
  <c r="N777" i="29" s="1"/>
  <c r="V134" i="12"/>
  <c r="X132" i="12"/>
  <c r="W132" i="12"/>
  <c r="AD133" i="12" s="1"/>
  <c r="N776" i="29" s="1"/>
  <c r="V132" i="12"/>
  <c r="N132" i="12"/>
  <c r="J132" i="12"/>
  <c r="H132" i="12" s="1"/>
  <c r="U137" i="12" s="1"/>
  <c r="X123" i="12"/>
  <c r="W123" i="12"/>
  <c r="AD123" i="12" s="1"/>
  <c r="V123" i="12"/>
  <c r="X122" i="12"/>
  <c r="W122" i="12"/>
  <c r="AD122" i="12" s="1"/>
  <c r="V122" i="12"/>
  <c r="X121" i="12"/>
  <c r="W121" i="12"/>
  <c r="AD121" i="12" s="1"/>
  <c r="V121" i="12"/>
  <c r="X120" i="12"/>
  <c r="W120" i="12"/>
  <c r="AD120" i="12" s="1"/>
  <c r="V120" i="12"/>
  <c r="X118" i="12"/>
  <c r="W118" i="12"/>
  <c r="AD119" i="12" s="1"/>
  <c r="V118" i="12"/>
  <c r="N118" i="12"/>
  <c r="J118" i="12"/>
  <c r="H118" i="12" s="1"/>
  <c r="U123" i="12" s="1"/>
  <c r="X117" i="12"/>
  <c r="W117" i="12"/>
  <c r="AD117" i="12" s="1"/>
  <c r="V117" i="12"/>
  <c r="X116" i="12"/>
  <c r="W116" i="12"/>
  <c r="AD116" i="12" s="1"/>
  <c r="V116" i="12"/>
  <c r="X115" i="12"/>
  <c r="W115" i="12"/>
  <c r="AD115" i="12" s="1"/>
  <c r="V115" i="12"/>
  <c r="X114" i="12"/>
  <c r="W114" i="12"/>
  <c r="AD114" i="12" s="1"/>
  <c r="V114" i="12"/>
  <c r="X112" i="12"/>
  <c r="W112" i="12"/>
  <c r="AD113" i="12" s="1"/>
  <c r="V112" i="12"/>
  <c r="N112" i="12"/>
  <c r="J112" i="12"/>
  <c r="H112" i="12" s="1"/>
  <c r="U117" i="12" s="1"/>
  <c r="X110" i="12"/>
  <c r="W110" i="12"/>
  <c r="AD110" i="12" s="1"/>
  <c r="N456" i="29" s="1"/>
  <c r="V110" i="12"/>
  <c r="X109" i="12"/>
  <c r="W109" i="12"/>
  <c r="AD109" i="12" s="1"/>
  <c r="N455" i="29" s="1"/>
  <c r="V109" i="12"/>
  <c r="X108" i="12"/>
  <c r="W108" i="12"/>
  <c r="AD108" i="12" s="1"/>
  <c r="N454" i="29" s="1"/>
  <c r="V108" i="12"/>
  <c r="X107" i="12"/>
  <c r="W107" i="12"/>
  <c r="AD107" i="12" s="1"/>
  <c r="N453" i="29" s="1"/>
  <c r="V107" i="12"/>
  <c r="X105" i="12"/>
  <c r="W105" i="12"/>
  <c r="AD106" i="12" s="1"/>
  <c r="N452" i="29" s="1"/>
  <c r="V105" i="12"/>
  <c r="N105" i="12"/>
  <c r="J105" i="12"/>
  <c r="H105" i="12" s="1"/>
  <c r="U110" i="12" s="1"/>
  <c r="X103" i="12"/>
  <c r="W103" i="12"/>
  <c r="AD103" i="12" s="1"/>
  <c r="N450" i="29" s="1"/>
  <c r="V103" i="12"/>
  <c r="X102" i="12"/>
  <c r="W102" i="12"/>
  <c r="AD102" i="12" s="1"/>
  <c r="N449" i="29" s="1"/>
  <c r="V102" i="12"/>
  <c r="X101" i="12"/>
  <c r="W101" i="12"/>
  <c r="AD101" i="12" s="1"/>
  <c r="N448" i="29" s="1"/>
  <c r="V101" i="12"/>
  <c r="X100" i="12"/>
  <c r="W100" i="12"/>
  <c r="AD100" i="12" s="1"/>
  <c r="N447" i="29" s="1"/>
  <c r="V100" i="12"/>
  <c r="X98" i="12"/>
  <c r="W98" i="12"/>
  <c r="AD99" i="12" s="1"/>
  <c r="N446" i="29" s="1"/>
  <c r="V98" i="12"/>
  <c r="N98" i="12"/>
  <c r="J98" i="12"/>
  <c r="H98" i="12" s="1"/>
  <c r="U103" i="12" s="1"/>
  <c r="X96" i="12"/>
  <c r="W96" i="12"/>
  <c r="AD96" i="12" s="1"/>
  <c r="V96" i="12"/>
  <c r="X95" i="12"/>
  <c r="W95" i="12"/>
  <c r="AD95" i="12" s="1"/>
  <c r="V95" i="12"/>
  <c r="X94" i="12"/>
  <c r="W94" i="12"/>
  <c r="AD94" i="12" s="1"/>
  <c r="N442" i="29" s="1"/>
  <c r="V94" i="12"/>
  <c r="X93" i="12"/>
  <c r="W93" i="12"/>
  <c r="AD93" i="12" s="1"/>
  <c r="N441" i="29" s="1"/>
  <c r="V93" i="12"/>
  <c r="X91" i="12"/>
  <c r="W91" i="12"/>
  <c r="AD92" i="12" s="1"/>
  <c r="N440" i="29" s="1"/>
  <c r="V91" i="12"/>
  <c r="N91" i="12"/>
  <c r="J91" i="12"/>
  <c r="H91" i="12" s="1"/>
  <c r="U96" i="12" s="1"/>
  <c r="X89" i="12"/>
  <c r="W89" i="12"/>
  <c r="AD89" i="12" s="1"/>
  <c r="N438" i="29" s="1"/>
  <c r="V89" i="12"/>
  <c r="X88" i="12"/>
  <c r="W88" i="12"/>
  <c r="AD88" i="12" s="1"/>
  <c r="N437" i="29" s="1"/>
  <c r="V88" i="12"/>
  <c r="X87" i="12"/>
  <c r="W87" i="12"/>
  <c r="AD87" i="12" s="1"/>
  <c r="N436" i="29" s="1"/>
  <c r="V87" i="12"/>
  <c r="X86" i="12"/>
  <c r="W86" i="12"/>
  <c r="AD86" i="12" s="1"/>
  <c r="N435" i="29" s="1"/>
  <c r="V86" i="12"/>
  <c r="X84" i="12"/>
  <c r="W84" i="12"/>
  <c r="AD85" i="12" s="1"/>
  <c r="N434" i="29" s="1"/>
  <c r="V84" i="12"/>
  <c r="N84" i="12"/>
  <c r="J84" i="12"/>
  <c r="H84" i="12" s="1"/>
  <c r="U89" i="12" s="1"/>
  <c r="X82" i="12"/>
  <c r="W82" i="12"/>
  <c r="AD82" i="12" s="1"/>
  <c r="N432" i="29" s="1"/>
  <c r="V82" i="12"/>
  <c r="X81" i="12"/>
  <c r="W81" i="12"/>
  <c r="AD81" i="12" s="1"/>
  <c r="N431" i="29" s="1"/>
  <c r="V81" i="12"/>
  <c r="X80" i="12"/>
  <c r="W80" i="12"/>
  <c r="AD80" i="12" s="1"/>
  <c r="N430" i="29" s="1"/>
  <c r="V80" i="12"/>
  <c r="X79" i="12"/>
  <c r="W79" i="12"/>
  <c r="AD79" i="12" s="1"/>
  <c r="N429" i="29" s="1"/>
  <c r="V79" i="12"/>
  <c r="X77" i="12"/>
  <c r="W77" i="12"/>
  <c r="AD78" i="12" s="1"/>
  <c r="N428" i="29" s="1"/>
  <c r="V77" i="12"/>
  <c r="N77" i="12"/>
  <c r="J77" i="12"/>
  <c r="H77" i="12" s="1"/>
  <c r="U82" i="12" s="1"/>
  <c r="X75" i="12"/>
  <c r="W75" i="12"/>
  <c r="AD75" i="12" s="1"/>
  <c r="V75" i="12"/>
  <c r="X74" i="12"/>
  <c r="W74" i="12"/>
  <c r="AD74" i="12" s="1"/>
  <c r="V74" i="12"/>
  <c r="X73" i="12"/>
  <c r="W73" i="12"/>
  <c r="AD73" i="12" s="1"/>
  <c r="N424" i="29" s="1"/>
  <c r="V73" i="12"/>
  <c r="X72" i="12"/>
  <c r="W72" i="12"/>
  <c r="AD72" i="12" s="1"/>
  <c r="V72" i="12"/>
  <c r="X70" i="12"/>
  <c r="W70" i="12"/>
  <c r="AD71" i="12" s="1"/>
  <c r="V70" i="12"/>
  <c r="N70" i="12"/>
  <c r="J70" i="12"/>
  <c r="H70" i="12" s="1"/>
  <c r="U75" i="12" s="1"/>
  <c r="X68" i="12"/>
  <c r="W68" i="12"/>
  <c r="AD68" i="12" s="1"/>
  <c r="N420" i="29" s="1"/>
  <c r="V68" i="12"/>
  <c r="X67" i="12"/>
  <c r="W67" i="12"/>
  <c r="AD67" i="12" s="1"/>
  <c r="N419" i="29" s="1"/>
  <c r="V67" i="12"/>
  <c r="X66" i="12"/>
  <c r="W66" i="12"/>
  <c r="AD66" i="12" s="1"/>
  <c r="N418" i="29" s="1"/>
  <c r="V66" i="12"/>
  <c r="X65" i="12"/>
  <c r="W65" i="12"/>
  <c r="AD65" i="12" s="1"/>
  <c r="N417" i="29" s="1"/>
  <c r="V65" i="12"/>
  <c r="X63" i="12"/>
  <c r="W63" i="12"/>
  <c r="AD64" i="12" s="1"/>
  <c r="N416" i="29" s="1"/>
  <c r="V63" i="12"/>
  <c r="N63" i="12"/>
  <c r="J63" i="12"/>
  <c r="H63" i="12" s="1"/>
  <c r="U68" i="12" s="1"/>
  <c r="X61" i="12"/>
  <c r="W61" i="12"/>
  <c r="AD61" i="12" s="1"/>
  <c r="N414" i="29" s="1"/>
  <c r="V61" i="12"/>
  <c r="U61" i="12"/>
  <c r="K28" i="26"/>
  <c r="J28" i="26"/>
  <c r="O293" i="29" s="1"/>
  <c r="J27" i="26"/>
  <c r="O292" i="29" s="1"/>
  <c r="J26" i="26"/>
  <c r="O291" i="29" s="1"/>
  <c r="K23" i="25"/>
  <c r="J23" i="25"/>
  <c r="M290" i="29" s="1"/>
  <c r="J22" i="25"/>
  <c r="M289" i="29" s="1"/>
  <c r="J21" i="25"/>
  <c r="M288" i="29" s="1"/>
  <c r="J20" i="25"/>
  <c r="J426" i="29" l="1"/>
  <c r="H426" i="29"/>
  <c r="H443" i="29"/>
  <c r="J443" i="29"/>
  <c r="N377" i="29"/>
  <c r="J377" i="29"/>
  <c r="N388" i="29"/>
  <c r="J388" i="29"/>
  <c r="I401" i="29"/>
  <c r="K401" i="29"/>
  <c r="N371" i="29"/>
  <c r="J371" i="29"/>
  <c r="N382" i="29"/>
  <c r="J382" i="29"/>
  <c r="H408" i="29"/>
  <c r="J408" i="29"/>
  <c r="N376" i="29"/>
  <c r="J376" i="29"/>
  <c r="N387" i="29"/>
  <c r="J387" i="29"/>
  <c r="K398" i="29"/>
  <c r="I398" i="29"/>
  <c r="I402" i="29"/>
  <c r="K402" i="29"/>
  <c r="J444" i="29"/>
  <c r="H444" i="29"/>
  <c r="N370" i="29"/>
  <c r="J370" i="29"/>
  <c r="N381" i="29"/>
  <c r="J381" i="29"/>
  <c r="N375" i="29"/>
  <c r="J375" i="29"/>
  <c r="N385" i="29"/>
  <c r="J385" i="29"/>
  <c r="N390" i="29"/>
  <c r="J390" i="29"/>
  <c r="K399" i="29"/>
  <c r="I399" i="29"/>
  <c r="J425" i="29"/>
  <c r="H425" i="29"/>
  <c r="N369" i="29"/>
  <c r="J369" i="29"/>
  <c r="N379" i="29"/>
  <c r="J379" i="29"/>
  <c r="N384" i="29"/>
  <c r="J384" i="29"/>
  <c r="L23" i="25"/>
  <c r="M287" i="29"/>
  <c r="M338" i="29" s="1"/>
  <c r="M849" i="29" s="1"/>
  <c r="N367" i="29"/>
  <c r="J367" i="29"/>
  <c r="N373" i="29"/>
  <c r="J373" i="29"/>
  <c r="N378" i="29"/>
  <c r="J378" i="29"/>
  <c r="N389" i="29"/>
  <c r="J389" i="29"/>
  <c r="M61" i="10"/>
  <c r="N372" i="29"/>
  <c r="J372" i="29"/>
  <c r="N383" i="29"/>
  <c r="J383" i="29"/>
  <c r="J407" i="29"/>
  <c r="L407" i="29"/>
  <c r="H407" i="29"/>
  <c r="O399" i="29"/>
  <c r="M399" i="29"/>
  <c r="O401" i="29"/>
  <c r="M401" i="29"/>
  <c r="N398" i="29"/>
  <c r="J398" i="29"/>
  <c r="L398" i="29"/>
  <c r="H398" i="29"/>
  <c r="N400" i="29"/>
  <c r="H400" i="29"/>
  <c r="L400" i="29"/>
  <c r="J400" i="29"/>
  <c r="N402" i="29"/>
  <c r="J402" i="29"/>
  <c r="L402" i="29"/>
  <c r="H402" i="29"/>
  <c r="O398" i="29"/>
  <c r="M398" i="29"/>
  <c r="O400" i="29"/>
  <c r="M400" i="29"/>
  <c r="O402" i="29"/>
  <c r="M402" i="29"/>
  <c r="N399" i="29"/>
  <c r="L399" i="29"/>
  <c r="J399" i="29"/>
  <c r="H399" i="29"/>
  <c r="N401" i="29"/>
  <c r="H401" i="29"/>
  <c r="J401" i="29"/>
  <c r="L401" i="29"/>
  <c r="N471" i="29"/>
  <c r="N485" i="29"/>
  <c r="N516" i="29"/>
  <c r="N526" i="29"/>
  <c r="N540" i="29"/>
  <c r="N550" i="29"/>
  <c r="N564" i="29"/>
  <c r="N574" i="29"/>
  <c r="N588" i="29"/>
  <c r="N612" i="29"/>
  <c r="N474" i="29"/>
  <c r="N484" i="29"/>
  <c r="N423" i="29"/>
  <c r="N548" i="29"/>
  <c r="N555" i="29"/>
  <c r="N633" i="29"/>
  <c r="N647" i="29"/>
  <c r="N657" i="29"/>
  <c r="N671" i="29"/>
  <c r="N408" i="29"/>
  <c r="L408" i="29"/>
  <c r="N407" i="29"/>
  <c r="AD125" i="12"/>
  <c r="N770" i="29" s="1"/>
  <c r="AD129" i="12"/>
  <c r="N774" i="29" s="1"/>
  <c r="AD155" i="12"/>
  <c r="N785" i="29" s="1"/>
  <c r="AD172" i="12"/>
  <c r="N789" i="29" s="1"/>
  <c r="AD128" i="12"/>
  <c r="N773" i="29" s="1"/>
  <c r="AD154" i="12"/>
  <c r="N784" i="29" s="1"/>
  <c r="AD175" i="12"/>
  <c r="N792" i="29" s="1"/>
  <c r="AD127" i="12"/>
  <c r="N772" i="29" s="1"/>
  <c r="AD153" i="12"/>
  <c r="N783" i="29" s="1"/>
  <c r="AD174" i="12"/>
  <c r="N791" i="29" s="1"/>
  <c r="AD729" i="12"/>
  <c r="N796" i="29" s="1"/>
  <c r="AD750" i="12"/>
  <c r="N804" i="29" s="1"/>
  <c r="N425" i="29"/>
  <c r="L425" i="29"/>
  <c r="AD126" i="12"/>
  <c r="N771" i="29" s="1"/>
  <c r="AD152" i="12"/>
  <c r="N782" i="29" s="1"/>
  <c r="AD156" i="12"/>
  <c r="N786" i="29" s="1"/>
  <c r="AD173" i="12"/>
  <c r="N790" i="29" s="1"/>
  <c r="Z476" i="12"/>
  <c r="N444" i="29"/>
  <c r="L444" i="29"/>
  <c r="N426" i="29"/>
  <c r="L426" i="29"/>
  <c r="N443" i="29"/>
  <c r="L443" i="29"/>
  <c r="L28" i="26"/>
  <c r="AC622" i="8"/>
  <c r="L370" i="29"/>
  <c r="H370" i="29"/>
  <c r="H372" i="29"/>
  <c r="L372" i="29"/>
  <c r="L381" i="29"/>
  <c r="H381" i="29"/>
  <c r="L383" i="29"/>
  <c r="H383" i="29"/>
  <c r="L375" i="29"/>
  <c r="H375" i="29"/>
  <c r="L377" i="29"/>
  <c r="H377" i="29"/>
  <c r="L385" i="29"/>
  <c r="H385" i="29"/>
  <c r="L388" i="29"/>
  <c r="H388" i="29"/>
  <c r="L390" i="29"/>
  <c r="H390" i="29"/>
  <c r="L458" i="29"/>
  <c r="L460" i="29"/>
  <c r="L462" i="29"/>
  <c r="L369" i="29"/>
  <c r="H369" i="29"/>
  <c r="L371" i="29"/>
  <c r="H371" i="29"/>
  <c r="L379" i="29"/>
  <c r="H379" i="29"/>
  <c r="L382" i="29"/>
  <c r="H382" i="29"/>
  <c r="H384" i="29"/>
  <c r="L384" i="29"/>
  <c r="L367" i="29"/>
  <c r="H367" i="29"/>
  <c r="L373" i="29"/>
  <c r="H373" i="29"/>
  <c r="H376" i="29"/>
  <c r="L376" i="29"/>
  <c r="H378" i="29"/>
  <c r="L378" i="29"/>
  <c r="L387" i="29"/>
  <c r="H387" i="29"/>
  <c r="L389" i="29"/>
  <c r="H389" i="29"/>
  <c r="L459" i="29"/>
  <c r="L461" i="29"/>
  <c r="Y639" i="12"/>
  <c r="Z720" i="12"/>
  <c r="AA579" i="12"/>
  <c r="AA627" i="12"/>
  <c r="AA110" i="12"/>
  <c r="AA68" i="12"/>
  <c r="H406" i="29"/>
  <c r="L406" i="29"/>
  <c r="J406" i="29"/>
  <c r="L413" i="29"/>
  <c r="J413" i="29"/>
  <c r="H413" i="29"/>
  <c r="L416" i="29"/>
  <c r="J416" i="29"/>
  <c r="H416" i="29"/>
  <c r="L420" i="29"/>
  <c r="J420" i="29"/>
  <c r="H420" i="29"/>
  <c r="L423" i="29"/>
  <c r="J423" i="29"/>
  <c r="H423" i="29"/>
  <c r="L430" i="29"/>
  <c r="J430" i="29"/>
  <c r="H430" i="29"/>
  <c r="L437" i="29"/>
  <c r="J437" i="29"/>
  <c r="H437" i="29"/>
  <c r="L440" i="29"/>
  <c r="J440" i="29"/>
  <c r="H440" i="29"/>
  <c r="J454" i="29"/>
  <c r="H454" i="29"/>
  <c r="L454" i="29"/>
  <c r="L405" i="29"/>
  <c r="J405" i="29"/>
  <c r="H405" i="29"/>
  <c r="H412" i="29"/>
  <c r="L412" i="29"/>
  <c r="J412" i="29"/>
  <c r="H419" i="29"/>
  <c r="J419" i="29"/>
  <c r="L419" i="29"/>
  <c r="J429" i="29"/>
  <c r="H429" i="29"/>
  <c r="L429" i="29"/>
  <c r="J436" i="29"/>
  <c r="H436" i="29"/>
  <c r="L436" i="29"/>
  <c r="L453" i="29"/>
  <c r="J453" i="29"/>
  <c r="H453" i="29"/>
  <c r="L411" i="29"/>
  <c r="J411" i="29"/>
  <c r="H411" i="29"/>
  <c r="L418" i="29"/>
  <c r="J418" i="29"/>
  <c r="H418" i="29"/>
  <c r="L428" i="29"/>
  <c r="J428" i="29"/>
  <c r="H428" i="29"/>
  <c r="L432" i="29"/>
  <c r="J432" i="29"/>
  <c r="H432" i="29"/>
  <c r="L435" i="29"/>
  <c r="J435" i="29"/>
  <c r="H435" i="29"/>
  <c r="L442" i="29"/>
  <c r="J442" i="29"/>
  <c r="H442" i="29"/>
  <c r="J452" i="29"/>
  <c r="H452" i="29"/>
  <c r="L452" i="29"/>
  <c r="J456" i="29"/>
  <c r="H456" i="29"/>
  <c r="L456" i="29"/>
  <c r="AA711" i="12"/>
  <c r="L410" i="29"/>
  <c r="J410" i="29"/>
  <c r="H410" i="29"/>
  <c r="H414" i="29"/>
  <c r="J414" i="29"/>
  <c r="L414" i="29"/>
  <c r="H417" i="29"/>
  <c r="L417" i="29"/>
  <c r="J417" i="29"/>
  <c r="J424" i="29"/>
  <c r="H424" i="29"/>
  <c r="L424" i="29"/>
  <c r="J431" i="29"/>
  <c r="H431" i="29"/>
  <c r="L431" i="29"/>
  <c r="J434" i="29"/>
  <c r="H434" i="29"/>
  <c r="L434" i="29"/>
  <c r="J438" i="29"/>
  <c r="H438" i="29"/>
  <c r="L438" i="29"/>
  <c r="J441" i="29"/>
  <c r="H441" i="29"/>
  <c r="L441" i="29"/>
  <c r="L455" i="29"/>
  <c r="J455" i="29"/>
  <c r="H455" i="29"/>
  <c r="Y716" i="12"/>
  <c r="AD630" i="12"/>
  <c r="U385" i="12"/>
  <c r="AA385" i="12" s="1"/>
  <c r="Z733" i="12"/>
  <c r="J447" i="29"/>
  <c r="L447" i="29"/>
  <c r="H447" i="29"/>
  <c r="L777" i="29"/>
  <c r="S506" i="12"/>
  <c r="U511" i="12"/>
  <c r="T513" i="12"/>
  <c r="Z513" i="12" s="1"/>
  <c r="S518" i="12"/>
  <c r="U520" i="12"/>
  <c r="L446" i="29"/>
  <c r="H446" i="29"/>
  <c r="J446" i="29"/>
  <c r="L450" i="29"/>
  <c r="H450" i="29"/>
  <c r="J450" i="29"/>
  <c r="AA123" i="12"/>
  <c r="L776" i="29"/>
  <c r="L780" i="29"/>
  <c r="L783" i="29"/>
  <c r="AA163" i="12"/>
  <c r="U392" i="12"/>
  <c r="AA392" i="12" s="1"/>
  <c r="T394" i="12"/>
  <c r="Z644" i="12"/>
  <c r="Y672" i="12"/>
  <c r="J449" i="29"/>
  <c r="L449" i="29"/>
  <c r="H449" i="29"/>
  <c r="L779" i="29"/>
  <c r="L782" i="29"/>
  <c r="L448" i="29"/>
  <c r="H448" i="29"/>
  <c r="J448" i="29"/>
  <c r="H770" i="29"/>
  <c r="J770" i="29"/>
  <c r="L778" i="29"/>
  <c r="L58" i="10"/>
  <c r="M58" i="10"/>
  <c r="AD77" i="8"/>
  <c r="AD108" i="8"/>
  <c r="AB349" i="8"/>
  <c r="AD49" i="8"/>
  <c r="AD403" i="8"/>
  <c r="AD431" i="8"/>
  <c r="AC517" i="8"/>
  <c r="AC599" i="8"/>
  <c r="AD70" i="8"/>
  <c r="AD95" i="8"/>
  <c r="AB320" i="8"/>
  <c r="AC316" i="8"/>
  <c r="AD321" i="8"/>
  <c r="AD63" i="8"/>
  <c r="AD89" i="8"/>
  <c r="AD122" i="8"/>
  <c r="AD56" i="8"/>
  <c r="AD83" i="8"/>
  <c r="AD115" i="8"/>
  <c r="AC603" i="8"/>
  <c r="AB81" i="8"/>
  <c r="AD47" i="8"/>
  <c r="AG45" i="8"/>
  <c r="AD62" i="8"/>
  <c r="AB122" i="8"/>
  <c r="AB70" i="8"/>
  <c r="AB82" i="8"/>
  <c r="AD397" i="8"/>
  <c r="AD453" i="8"/>
  <c r="AB456" i="8"/>
  <c r="AD481" i="8"/>
  <c r="AB565" i="8"/>
  <c r="AB594" i="8"/>
  <c r="AC585" i="8"/>
  <c r="AB56" i="8"/>
  <c r="AD327" i="8"/>
  <c r="AD411" i="8"/>
  <c r="AB414" i="8"/>
  <c r="AD439" i="8"/>
  <c r="AB442" i="8"/>
  <c r="AD466" i="8"/>
  <c r="AD495" i="8"/>
  <c r="AB552" i="8"/>
  <c r="AB580" i="8"/>
  <c r="AB608" i="8"/>
  <c r="AB49" i="8"/>
  <c r="AB51" i="8"/>
  <c r="AD76" i="8"/>
  <c r="AD82" i="8"/>
  <c r="AC80" i="8"/>
  <c r="AD80" i="8"/>
  <c r="AB88" i="8"/>
  <c r="AB335" i="8"/>
  <c r="AB419" i="8"/>
  <c r="AD425" i="8"/>
  <c r="AB428" i="8"/>
  <c r="AD459" i="8"/>
  <c r="AC489" i="8"/>
  <c r="AD522" i="8"/>
  <c r="AC531" i="8"/>
  <c r="AC535" i="8"/>
  <c r="AD48" i="8"/>
  <c r="AG289" i="8"/>
  <c r="AI293" i="8" s="1"/>
  <c r="AG296" i="8"/>
  <c r="AI300" i="8" s="1"/>
  <c r="AG359" i="8"/>
  <c r="AI363" i="8" s="1"/>
  <c r="AG365" i="8"/>
  <c r="AI370" i="8" s="1"/>
  <c r="AG373" i="8"/>
  <c r="AI377" i="8" s="1"/>
  <c r="AG380" i="8"/>
  <c r="AI384" i="8" s="1"/>
  <c r="AC395" i="8"/>
  <c r="AD395" i="8"/>
  <c r="AC47" i="8"/>
  <c r="AC53" i="8"/>
  <c r="AC60" i="8"/>
  <c r="AB83" i="8"/>
  <c r="AC83" i="8"/>
  <c r="AG111" i="8"/>
  <c r="AI115" i="8" s="1"/>
  <c r="AB293" i="8"/>
  <c r="AC295" i="8"/>
  <c r="AC307" i="8"/>
  <c r="AC309" i="8"/>
  <c r="AG338" i="8"/>
  <c r="AI342" i="8" s="1"/>
  <c r="AD360" i="8"/>
  <c r="AC365" i="8"/>
  <c r="AB376" i="8"/>
  <c r="AD383" i="8"/>
  <c r="AC390" i="8"/>
  <c r="AB393" i="8"/>
  <c r="AD446" i="8"/>
  <c r="AC475" i="8"/>
  <c r="AC503" i="8"/>
  <c r="AD509" i="8"/>
  <c r="AB556" i="8"/>
  <c r="AB612" i="8"/>
  <c r="AB46" i="8"/>
  <c r="AG73" i="8"/>
  <c r="AG85" i="8"/>
  <c r="AG91" i="8"/>
  <c r="AC337" i="8"/>
  <c r="AG519" i="8"/>
  <c r="AI524" i="8" s="1"/>
  <c r="AD53" i="8"/>
  <c r="AB54" i="8"/>
  <c r="AB55" i="8"/>
  <c r="AC56" i="8"/>
  <c r="AC69" i="8"/>
  <c r="AG101" i="8"/>
  <c r="AB77" i="8"/>
  <c r="AB78" i="8"/>
  <c r="AB86" i="8"/>
  <c r="AB107" i="8"/>
  <c r="AC108" i="8"/>
  <c r="AG104" i="8"/>
  <c r="AC46" i="8"/>
  <c r="AD61" i="8"/>
  <c r="AC67" i="8"/>
  <c r="AD67" i="8"/>
  <c r="AB68" i="8"/>
  <c r="AB69" i="8"/>
  <c r="AC70" i="8"/>
  <c r="AC82" i="8"/>
  <c r="AC95" i="8"/>
  <c r="AD58" i="8"/>
  <c r="AG99" i="8"/>
  <c r="AD75" i="8"/>
  <c r="AD44" i="8"/>
  <c r="AC55" i="8"/>
  <c r="AG59" i="8"/>
  <c r="AB63" i="8"/>
  <c r="AB65" i="8"/>
  <c r="AD72" i="8"/>
  <c r="AG98" i="8"/>
  <c r="AC74" i="8"/>
  <c r="AD105" i="8"/>
  <c r="AG117" i="8"/>
  <c r="AI122" i="8" s="1"/>
  <c r="AD119" i="8"/>
  <c r="AB306" i="8"/>
  <c r="AG316" i="8"/>
  <c r="AI321" i="8" s="1"/>
  <c r="AD318" i="8"/>
  <c r="AB348" i="8"/>
  <c r="AG351" i="8"/>
  <c r="AI356" i="8" s="1"/>
  <c r="AC363" i="8"/>
  <c r="AB396" i="8"/>
  <c r="AB412" i="8"/>
  <c r="AC412" i="8"/>
  <c r="AC425" i="8"/>
  <c r="AD426" i="8"/>
  <c r="AD428" i="8"/>
  <c r="AB440" i="8"/>
  <c r="AC440" i="8"/>
  <c r="AC453" i="8"/>
  <c r="AD454" i="8"/>
  <c r="AD456" i="8"/>
  <c r="AB468" i="8"/>
  <c r="AB470" i="8"/>
  <c r="AD475" i="8"/>
  <c r="AD477" i="8"/>
  <c r="AB482" i="8"/>
  <c r="AB484" i="8"/>
  <c r="AD489" i="8"/>
  <c r="AD491" i="8"/>
  <c r="AB496" i="8"/>
  <c r="AB498" i="8"/>
  <c r="AD503" i="8"/>
  <c r="AD508" i="8"/>
  <c r="AC516" i="8"/>
  <c r="AD519" i="8"/>
  <c r="AC521" i="8"/>
  <c r="AB529" i="8"/>
  <c r="AG533" i="8"/>
  <c r="AI538" i="8" s="1"/>
  <c r="AD547" i="8"/>
  <c r="AD549" i="8"/>
  <c r="AC557" i="8"/>
  <c r="AD561" i="8"/>
  <c r="AD563" i="8"/>
  <c r="AG589" i="8"/>
  <c r="AI594" i="8" s="1"/>
  <c r="AC594" i="8"/>
  <c r="AC596" i="8"/>
  <c r="AD600" i="8"/>
  <c r="AC605" i="8"/>
  <c r="AB607" i="8"/>
  <c r="AG611" i="8"/>
  <c r="AI615" i="8" s="1"/>
  <c r="AB621" i="8"/>
  <c r="AC122" i="8"/>
  <c r="AD290" i="8"/>
  <c r="AG309" i="8"/>
  <c r="AI314" i="8" s="1"/>
  <c r="AC321" i="8"/>
  <c r="AG330" i="8"/>
  <c r="AI335" i="8" s="1"/>
  <c r="AD332" i="8"/>
  <c r="AC351" i="8"/>
  <c r="AB362" i="8"/>
  <c r="AD374" i="8"/>
  <c r="AC397" i="8"/>
  <c r="AB398" i="8"/>
  <c r="AB403" i="8"/>
  <c r="AC404" i="8"/>
  <c r="AB405" i="8"/>
  <c r="AB407" i="8"/>
  <c r="AC416" i="8"/>
  <c r="AD417" i="8"/>
  <c r="AC423" i="8"/>
  <c r="AD423" i="8"/>
  <c r="AB424" i="8"/>
  <c r="AB425" i="8"/>
  <c r="AB431" i="8"/>
  <c r="AC432" i="8"/>
  <c r="AB433" i="8"/>
  <c r="AB435" i="8"/>
  <c r="AC444" i="8"/>
  <c r="AD445" i="8"/>
  <c r="AC451" i="8"/>
  <c r="AD451" i="8"/>
  <c r="AB452" i="8"/>
  <c r="AB453" i="8"/>
  <c r="AB459" i="8"/>
  <c r="AC460" i="8"/>
  <c r="AB461" i="8"/>
  <c r="AB463" i="8"/>
  <c r="AC474" i="8"/>
  <c r="AC488" i="8"/>
  <c r="AC502" i="8"/>
  <c r="AD505" i="8"/>
  <c r="AC507" i="8"/>
  <c r="AB515" i="8"/>
  <c r="AB538" i="8"/>
  <c r="AG547" i="8"/>
  <c r="AI552" i="8" s="1"/>
  <c r="AC552" i="8"/>
  <c r="AC554" i="8"/>
  <c r="AG561" i="8"/>
  <c r="AI566" i="8" s="1"/>
  <c r="AC566" i="8"/>
  <c r="AG569" i="8"/>
  <c r="AI573" i="8" s="1"/>
  <c r="AD575" i="8"/>
  <c r="AD577" i="8"/>
  <c r="AD586" i="8"/>
  <c r="AC591" i="8"/>
  <c r="AB593" i="8"/>
  <c r="AG597" i="8"/>
  <c r="AI601" i="8" s="1"/>
  <c r="AB121" i="8"/>
  <c r="AG125" i="8"/>
  <c r="N457" i="29" s="1"/>
  <c r="AC293" i="8"/>
  <c r="AG302" i="8"/>
  <c r="AI307" i="8" s="1"/>
  <c r="AD304" i="8"/>
  <c r="AG323" i="8"/>
  <c r="AI328" i="8" s="1"/>
  <c r="AC335" i="8"/>
  <c r="AG344" i="8"/>
  <c r="AI349" i="8" s="1"/>
  <c r="AD346" i="8"/>
  <c r="AC377" i="8"/>
  <c r="AC389" i="8"/>
  <c r="AD396" i="8"/>
  <c r="AB397" i="8"/>
  <c r="AC411" i="8"/>
  <c r="AD412" i="8"/>
  <c r="AD414" i="8"/>
  <c r="AB426" i="8"/>
  <c r="AC426" i="8"/>
  <c r="AC439" i="8"/>
  <c r="AD440" i="8"/>
  <c r="AD442" i="8"/>
  <c r="AB454" i="8"/>
  <c r="AC454" i="8"/>
  <c r="AB473" i="8"/>
  <c r="AD480" i="8"/>
  <c r="AB487" i="8"/>
  <c r="AD494" i="8"/>
  <c r="AB501" i="8"/>
  <c r="AG505" i="8"/>
  <c r="AI510" i="8" s="1"/>
  <c r="AB524" i="8"/>
  <c r="AB526" i="8"/>
  <c r="AD531" i="8"/>
  <c r="AD536" i="8"/>
  <c r="AC549" i="8"/>
  <c r="AD550" i="8"/>
  <c r="AB551" i="8"/>
  <c r="AG555" i="8"/>
  <c r="AI559" i="8" s="1"/>
  <c r="AC563" i="8"/>
  <c r="AD564" i="8"/>
  <c r="AG575" i="8"/>
  <c r="AI580" i="8" s="1"/>
  <c r="AC580" i="8"/>
  <c r="AG583" i="8"/>
  <c r="AI587" i="8" s="1"/>
  <c r="AD603" i="8"/>
  <c r="AD605" i="8"/>
  <c r="AC613" i="8"/>
  <c r="AD617" i="8"/>
  <c r="AD619" i="8"/>
  <c r="AC125" i="8"/>
  <c r="AB292" i="8"/>
  <c r="AB334" i="8"/>
  <c r="AC349" i="8"/>
  <c r="AD393" i="8"/>
  <c r="AC398" i="8"/>
  <c r="AB400" i="8"/>
  <c r="AC402" i="8"/>
  <c r="AC409" i="8"/>
  <c r="AD409" i="8"/>
  <c r="AB410" i="8"/>
  <c r="AB411" i="8"/>
  <c r="AB417" i="8"/>
  <c r="AC418" i="8"/>
  <c r="AB421" i="8"/>
  <c r="AC430" i="8"/>
  <c r="AC437" i="8"/>
  <c r="AD437" i="8"/>
  <c r="AB438" i="8"/>
  <c r="AB439" i="8"/>
  <c r="AH439" i="8" s="1"/>
  <c r="AB445" i="8"/>
  <c r="AC446" i="8"/>
  <c r="AB447" i="8"/>
  <c r="AB449" i="8"/>
  <c r="AC458" i="8"/>
  <c r="AC479" i="8"/>
  <c r="AC493" i="8"/>
  <c r="AB510" i="8"/>
  <c r="AB512" i="8"/>
  <c r="AD517" i="8"/>
  <c r="AC530" i="8"/>
  <c r="AD533" i="8"/>
  <c r="AC577" i="8"/>
  <c r="AD578" i="8"/>
  <c r="AB579" i="8"/>
  <c r="AD589" i="8"/>
  <c r="AD591" i="8"/>
  <c r="AG603" i="8"/>
  <c r="AI608" i="8" s="1"/>
  <c r="AC608" i="8"/>
  <c r="AC610" i="8"/>
  <c r="AG617" i="8"/>
  <c r="N763" i="29" s="1"/>
  <c r="AD98" i="12"/>
  <c r="AA144" i="12"/>
  <c r="AD145" i="12"/>
  <c r="AD379" i="12"/>
  <c r="S385" i="12"/>
  <c r="Y385" i="12" s="1"/>
  <c r="S388" i="12"/>
  <c r="Y388" i="12" s="1"/>
  <c r="S392" i="12"/>
  <c r="Y392" i="12" s="1"/>
  <c r="Z431" i="12"/>
  <c r="AD70" i="12"/>
  <c r="N421" i="29" s="1"/>
  <c r="AA89" i="12"/>
  <c r="AA96" i="12"/>
  <c r="AD132" i="12"/>
  <c r="N775" i="29" s="1"/>
  <c r="AD164" i="12"/>
  <c r="Z394" i="12"/>
  <c r="AA61" i="12"/>
  <c r="AA82" i="12"/>
  <c r="AA117" i="12"/>
  <c r="Y397" i="12"/>
  <c r="AD421" i="12"/>
  <c r="N506" i="29" s="1"/>
  <c r="AA544" i="12"/>
  <c r="S553" i="12"/>
  <c r="Y553" i="12" s="1"/>
  <c r="AA618" i="12"/>
  <c r="T500" i="12"/>
  <c r="Z500" i="12" s="1"/>
  <c r="S499" i="12"/>
  <c r="Y499" i="12" s="1"/>
  <c r="S497" i="12"/>
  <c r="Y497" i="12" s="1"/>
  <c r="T670" i="12"/>
  <c r="Z670" i="12" s="1"/>
  <c r="U670" i="12"/>
  <c r="S665" i="12"/>
  <c r="Y665" i="12" s="1"/>
  <c r="T669" i="12"/>
  <c r="Z669" i="12" s="1"/>
  <c r="S668" i="12"/>
  <c r="Y668" i="12" s="1"/>
  <c r="T700" i="12"/>
  <c r="Z700" i="12" s="1"/>
  <c r="U704" i="12"/>
  <c r="AA704" i="12" s="1"/>
  <c r="T466" i="12"/>
  <c r="S462" i="12"/>
  <c r="Y462" i="12" s="1"/>
  <c r="S465" i="12"/>
  <c r="U464" i="12"/>
  <c r="AD77" i="12"/>
  <c r="N427" i="29" s="1"/>
  <c r="T373" i="12"/>
  <c r="AD386" i="12"/>
  <c r="N476" i="29" s="1"/>
  <c r="AD407" i="12"/>
  <c r="N494" i="29" s="1"/>
  <c r="S413" i="12"/>
  <c r="Y413" i="12" s="1"/>
  <c r="AA452" i="12"/>
  <c r="T473" i="12"/>
  <c r="Z473" i="12" s="1"/>
  <c r="Y504" i="12"/>
  <c r="S521" i="12"/>
  <c r="T543" i="12"/>
  <c r="U558" i="12"/>
  <c r="AA558" i="12" s="1"/>
  <c r="Z739" i="12"/>
  <c r="AD739" i="12"/>
  <c r="AD105" i="12"/>
  <c r="AA387" i="12"/>
  <c r="U388" i="12"/>
  <c r="AA388" i="12" s="1"/>
  <c r="T401" i="12"/>
  <c r="Z401" i="12" s="1"/>
  <c r="U413" i="12"/>
  <c r="AA413" i="12" s="1"/>
  <c r="T429" i="12"/>
  <c r="Z429" i="12" s="1"/>
  <c r="AD483" i="12"/>
  <c r="N559" i="29" s="1"/>
  <c r="S539" i="12"/>
  <c r="Y539" i="12" s="1"/>
  <c r="Z557" i="12"/>
  <c r="AD609" i="12"/>
  <c r="S625" i="12"/>
  <c r="Y625" i="12" s="1"/>
  <c r="AD700" i="12"/>
  <c r="N751" i="29" s="1"/>
  <c r="AA137" i="12"/>
  <c r="AA150" i="12"/>
  <c r="Z415" i="12"/>
  <c r="AD414" i="12"/>
  <c r="N500" i="29" s="1"/>
  <c r="U416" i="12"/>
  <c r="AA416" i="12" s="1"/>
  <c r="S417" i="12"/>
  <c r="Y417" i="12" s="1"/>
  <c r="Y506" i="12"/>
  <c r="S588" i="12"/>
  <c r="Y588" i="12" s="1"/>
  <c r="S591" i="12"/>
  <c r="T592" i="12"/>
  <c r="Z592" i="12" s="1"/>
  <c r="AD720" i="12"/>
  <c r="T684" i="12"/>
  <c r="Z684" i="12" s="1"/>
  <c r="U684" i="12"/>
  <c r="AA684" i="12" s="1"/>
  <c r="S679" i="12"/>
  <c r="Y679" i="12" s="1"/>
  <c r="T683" i="12"/>
  <c r="Z683" i="12" s="1"/>
  <c r="S682" i="12"/>
  <c r="Y682" i="12" s="1"/>
  <c r="U446" i="12"/>
  <c r="AA446" i="12" s="1"/>
  <c r="T445" i="12"/>
  <c r="Z445" i="12" s="1"/>
  <c r="S443" i="12"/>
  <c r="Y443" i="12" s="1"/>
  <c r="S441" i="12"/>
  <c r="Y441" i="12" s="1"/>
  <c r="S445" i="12"/>
  <c r="Y445" i="12" s="1"/>
  <c r="AD617" i="12"/>
  <c r="N680" i="29" s="1"/>
  <c r="AD616" i="12"/>
  <c r="N679" i="29" s="1"/>
  <c r="U634" i="12"/>
  <c r="AA634" i="12" s="1"/>
  <c r="T633" i="12"/>
  <c r="Z633" i="12" s="1"/>
  <c r="S632" i="12"/>
  <c r="Y632" i="12" s="1"/>
  <c r="T459" i="12"/>
  <c r="Z459" i="12" s="1"/>
  <c r="T458" i="12"/>
  <c r="Z458" i="12" s="1"/>
  <c r="S455" i="12"/>
  <c r="Y455" i="12" s="1"/>
  <c r="AA474" i="12"/>
  <c r="AD638" i="12"/>
  <c r="AD637" i="12"/>
  <c r="N697" i="29" s="1"/>
  <c r="AD734" i="12"/>
  <c r="AD746" i="12" s="1"/>
  <c r="N800" i="29" s="1"/>
  <c r="AD733" i="12"/>
  <c r="AD745" i="12" s="1"/>
  <c r="N799" i="29" s="1"/>
  <c r="AD491" i="12"/>
  <c r="AD490" i="12"/>
  <c r="N565" i="29" s="1"/>
  <c r="T626" i="12"/>
  <c r="Z626" i="12" s="1"/>
  <c r="T623" i="12"/>
  <c r="Z623" i="12" s="1"/>
  <c r="U641" i="12"/>
  <c r="AA641" i="12" s="1"/>
  <c r="AA75" i="12"/>
  <c r="AD84" i="12"/>
  <c r="N433" i="29" s="1"/>
  <c r="AA103" i="12"/>
  <c r="AD112" i="12"/>
  <c r="AD139" i="12"/>
  <c r="AD151" i="12" s="1"/>
  <c r="N781" i="29" s="1"/>
  <c r="AD159" i="12"/>
  <c r="AD171" i="12" s="1"/>
  <c r="N788" i="29" s="1"/>
  <c r="AD158" i="12"/>
  <c r="AA169" i="12"/>
  <c r="Z373" i="12"/>
  <c r="AD427" i="12"/>
  <c r="N511" i="29" s="1"/>
  <c r="AD428" i="12"/>
  <c r="N512" i="29" s="1"/>
  <c r="S438" i="12"/>
  <c r="Y438" i="12" s="1"/>
  <c r="T437" i="12"/>
  <c r="Z437" i="12" s="1"/>
  <c r="S437" i="12"/>
  <c r="Y437" i="12" s="1"/>
  <c r="U436" i="12"/>
  <c r="AA436" i="12" s="1"/>
  <c r="S434" i="12"/>
  <c r="Y434" i="12" s="1"/>
  <c r="U443" i="12"/>
  <c r="AA443" i="12" s="1"/>
  <c r="S444" i="12"/>
  <c r="S493" i="12"/>
  <c r="Y493" i="12" s="1"/>
  <c r="S492" i="12"/>
  <c r="Y492" i="12" s="1"/>
  <c r="S490" i="12"/>
  <c r="Y490" i="12" s="1"/>
  <c r="T493" i="12"/>
  <c r="Z493" i="12" s="1"/>
  <c r="AD505" i="12"/>
  <c r="AD504" i="12"/>
  <c r="S509" i="12"/>
  <c r="Y509" i="12" s="1"/>
  <c r="Y518" i="12"/>
  <c r="AA520" i="12"/>
  <c r="Y591" i="12"/>
  <c r="S618" i="12"/>
  <c r="Y618" i="12" s="1"/>
  <c r="T619" i="12"/>
  <c r="Z619" i="12" s="1"/>
  <c r="AD645" i="12"/>
  <c r="N704" i="29" s="1"/>
  <c r="T656" i="12"/>
  <c r="Z656" i="12" s="1"/>
  <c r="U656" i="12"/>
  <c r="AA656" i="12" s="1"/>
  <c r="S651" i="12"/>
  <c r="Y651" i="12" s="1"/>
  <c r="T655" i="12"/>
  <c r="Z655" i="12" s="1"/>
  <c r="S654" i="12"/>
  <c r="Y654" i="12" s="1"/>
  <c r="T663" i="12"/>
  <c r="Z663" i="12" s="1"/>
  <c r="U663" i="12"/>
  <c r="AA663" i="12" s="1"/>
  <c r="S658" i="12"/>
  <c r="Y658" i="12" s="1"/>
  <c r="S661" i="12"/>
  <c r="Y661" i="12" s="1"/>
  <c r="T662" i="12"/>
  <c r="Z662" i="12" s="1"/>
  <c r="T710" i="12"/>
  <c r="Z710" i="12" s="1"/>
  <c r="T707" i="12"/>
  <c r="Z707" i="12" s="1"/>
  <c r="AD708" i="12"/>
  <c r="N758" i="29" s="1"/>
  <c r="AD707" i="12"/>
  <c r="N757" i="29" s="1"/>
  <c r="AD715" i="12"/>
  <c r="AD727" i="12" s="1"/>
  <c r="N794" i="29" s="1"/>
  <c r="AD714" i="12"/>
  <c r="AD726" i="12" s="1"/>
  <c r="N793" i="29" s="1"/>
  <c r="T640" i="12"/>
  <c r="Z640" i="12" s="1"/>
  <c r="T637" i="12"/>
  <c r="Z637" i="12" s="1"/>
  <c r="U691" i="12"/>
  <c r="AA691" i="12" s="1"/>
  <c r="S689" i="12"/>
  <c r="Y689" i="12" s="1"/>
  <c r="S688" i="12"/>
  <c r="Y688" i="12" s="1"/>
  <c r="S686" i="12"/>
  <c r="Y686" i="12" s="1"/>
  <c r="AD63" i="12"/>
  <c r="N415" i="29" s="1"/>
  <c r="AD91" i="12"/>
  <c r="AD118" i="12"/>
  <c r="T444" i="12"/>
  <c r="Z444" i="12" s="1"/>
  <c r="AD455" i="12"/>
  <c r="N535" i="29" s="1"/>
  <c r="AD456" i="12"/>
  <c r="N536" i="29" s="1"/>
  <c r="S472" i="12"/>
  <c r="Y472" i="12" s="1"/>
  <c r="U471" i="12"/>
  <c r="AA471" i="12" s="1"/>
  <c r="S471" i="12"/>
  <c r="Y471" i="12" s="1"/>
  <c r="S469" i="12"/>
  <c r="T472" i="12"/>
  <c r="Z472" i="12" s="1"/>
  <c r="S473" i="12"/>
  <c r="Y473" i="12" s="1"/>
  <c r="U494" i="12"/>
  <c r="AA494" i="12" s="1"/>
  <c r="T516" i="12"/>
  <c r="Z516" i="12" s="1"/>
  <c r="S511" i="12"/>
  <c r="Y511" i="12" s="1"/>
  <c r="T515" i="12"/>
  <c r="Z515" i="12" s="1"/>
  <c r="S514" i="12"/>
  <c r="Y514" i="12" s="1"/>
  <c r="Z543" i="12"/>
  <c r="U565" i="12"/>
  <c r="AA565" i="12" s="1"/>
  <c r="T564" i="12"/>
  <c r="Z564" i="12" s="1"/>
  <c r="S563" i="12"/>
  <c r="Y563" i="12" s="1"/>
  <c r="S560" i="12"/>
  <c r="Y560" i="12" s="1"/>
  <c r="U586" i="12"/>
  <c r="AA586" i="12" s="1"/>
  <c r="S581" i="12"/>
  <c r="Y581" i="12" s="1"/>
  <c r="T585" i="12"/>
  <c r="Z585" i="12" s="1"/>
  <c r="AD624" i="12"/>
  <c r="T630" i="12"/>
  <c r="Z630" i="12" s="1"/>
  <c r="U646" i="12"/>
  <c r="AA646" i="12" s="1"/>
  <c r="AA670" i="12"/>
  <c r="T677" i="12"/>
  <c r="Z677" i="12" s="1"/>
  <c r="T676" i="12"/>
  <c r="Z676" i="12" s="1"/>
  <c r="S675" i="12"/>
  <c r="Y675" i="12" s="1"/>
  <c r="U677" i="12"/>
  <c r="AA677" i="12" s="1"/>
  <c r="S389" i="12"/>
  <c r="Y389" i="12" s="1"/>
  <c r="S390" i="12"/>
  <c r="Y390" i="12" s="1"/>
  <c r="U394" i="12"/>
  <c r="AA394" i="12" s="1"/>
  <c r="U397" i="12"/>
  <c r="AA397" i="12" s="1"/>
  <c r="T465" i="12"/>
  <c r="Z465" i="12" s="1"/>
  <c r="S466" i="12"/>
  <c r="AA511" i="12"/>
  <c r="Y521" i="12"/>
  <c r="Z523" i="12"/>
  <c r="Z530" i="12"/>
  <c r="Y376" i="12"/>
  <c r="U376" i="12"/>
  <c r="AA376" i="12" s="1"/>
  <c r="Y381" i="12"/>
  <c r="S395" i="12"/>
  <c r="Y395" i="12" s="1"/>
  <c r="Y404" i="12"/>
  <c r="U404" i="12"/>
  <c r="AA404" i="12" s="1"/>
  <c r="Y424" i="12"/>
  <c r="AA593" i="12"/>
  <c r="AG96" i="8"/>
  <c r="AB381" i="8"/>
  <c r="AC382" i="8"/>
  <c r="AB44" i="8"/>
  <c r="AD46" i="8"/>
  <c r="AB48" i="8"/>
  <c r="AC49" i="8"/>
  <c r="AC51" i="8"/>
  <c r="AG52" i="8"/>
  <c r="AB53" i="8"/>
  <c r="AC54" i="8"/>
  <c r="AD55" i="8"/>
  <c r="AD60" i="8"/>
  <c r="AB62" i="8"/>
  <c r="AC63" i="8"/>
  <c r="AC65" i="8"/>
  <c r="AG66" i="8"/>
  <c r="AB67" i="8"/>
  <c r="AC68" i="8"/>
  <c r="AD69" i="8"/>
  <c r="AD74" i="8"/>
  <c r="AB76" i="8"/>
  <c r="AC77" i="8"/>
  <c r="AC78" i="8"/>
  <c r="AG79" i="8"/>
  <c r="AB80" i="8"/>
  <c r="AC81" i="8"/>
  <c r="AC84" i="8"/>
  <c r="AD86" i="8"/>
  <c r="AC87" i="8"/>
  <c r="AD92" i="8"/>
  <c r="AC93" i="8"/>
  <c r="AB94" i="8"/>
  <c r="AB108" i="8"/>
  <c r="AD314" i="8"/>
  <c r="AC313" i="8"/>
  <c r="AB312" i="8"/>
  <c r="AB309" i="8"/>
  <c r="AC314" i="8"/>
  <c r="AB313" i="8"/>
  <c r="AD311" i="8"/>
  <c r="AB314" i="8"/>
  <c r="AD312" i="8"/>
  <c r="AC311" i="8"/>
  <c r="AD309" i="8"/>
  <c r="AB311" i="8"/>
  <c r="AC312" i="8"/>
  <c r="AD313" i="8"/>
  <c r="AB321" i="8"/>
  <c r="AD370" i="8"/>
  <c r="AC369" i="8"/>
  <c r="AB368" i="8"/>
  <c r="AB365" i="8"/>
  <c r="AC370" i="8"/>
  <c r="AB369" i="8"/>
  <c r="AD367" i="8"/>
  <c r="AB370" i="8"/>
  <c r="AD368" i="8"/>
  <c r="AC367" i="8"/>
  <c r="AD365" i="8"/>
  <c r="AB367" i="8"/>
  <c r="AC368" i="8"/>
  <c r="AD369" i="8"/>
  <c r="AB377" i="8"/>
  <c r="AG398" i="8"/>
  <c r="N575" i="29" s="1"/>
  <c r="AD398" i="8"/>
  <c r="AG405" i="8"/>
  <c r="N581" i="29" s="1"/>
  <c r="AD405" i="8"/>
  <c r="AG100" i="8"/>
  <c r="AB92" i="8"/>
  <c r="AC114" i="8"/>
  <c r="AB113" i="8"/>
  <c r="AB110" i="8"/>
  <c r="AC115" i="8"/>
  <c r="AB114" i="8"/>
  <c r="AD112" i="8"/>
  <c r="AB115" i="8"/>
  <c r="AD113" i="8"/>
  <c r="AC112" i="8"/>
  <c r="AD110" i="8"/>
  <c r="AB325" i="8"/>
  <c r="AC326" i="8"/>
  <c r="AG438" i="8"/>
  <c r="N610" i="29" s="1"/>
  <c r="AD438" i="8"/>
  <c r="AC44" i="8"/>
  <c r="AB47" i="8"/>
  <c r="AC48" i="8"/>
  <c r="AD51" i="8"/>
  <c r="AD54" i="8"/>
  <c r="AB58" i="8"/>
  <c r="AB61" i="8"/>
  <c r="AC62" i="8"/>
  <c r="AD65" i="8"/>
  <c r="AD68" i="8"/>
  <c r="AB72" i="8"/>
  <c r="AB75" i="8"/>
  <c r="AC76" i="8"/>
  <c r="AD78" i="8"/>
  <c r="AD81" i="8"/>
  <c r="AB89" i="8"/>
  <c r="AD87" i="8"/>
  <c r="AC86" i="8"/>
  <c r="AC88" i="8"/>
  <c r="AB87" i="8"/>
  <c r="AB84" i="8"/>
  <c r="AD84" i="8"/>
  <c r="AD88" i="8"/>
  <c r="AC89" i="8"/>
  <c r="AD94" i="8"/>
  <c r="AD300" i="8"/>
  <c r="AC299" i="8"/>
  <c r="AB298" i="8"/>
  <c r="AB295" i="8"/>
  <c r="AC300" i="8"/>
  <c r="AB299" i="8"/>
  <c r="AD297" i="8"/>
  <c r="AB300" i="8"/>
  <c r="AD298" i="8"/>
  <c r="AC297" i="8"/>
  <c r="AD295" i="8"/>
  <c r="AB297" i="8"/>
  <c r="AC298" i="8"/>
  <c r="AD299" i="8"/>
  <c r="AB307" i="8"/>
  <c r="AD356" i="8"/>
  <c r="AC355" i="8"/>
  <c r="AB354" i="8"/>
  <c r="AB351" i="8"/>
  <c r="AC356" i="8"/>
  <c r="AB355" i="8"/>
  <c r="AD353" i="8"/>
  <c r="AB356" i="8"/>
  <c r="AD354" i="8"/>
  <c r="AC353" i="8"/>
  <c r="AD351" i="8"/>
  <c r="AB353" i="8"/>
  <c r="AC354" i="8"/>
  <c r="AD355" i="8"/>
  <c r="AB363" i="8"/>
  <c r="AG433" i="8"/>
  <c r="N605" i="29" s="1"/>
  <c r="AD433" i="8"/>
  <c r="AC94" i="8"/>
  <c r="AB93" i="8"/>
  <c r="AB90" i="8"/>
  <c r="AB95" i="8"/>
  <c r="AD93" i="8"/>
  <c r="AC92" i="8"/>
  <c r="AD90" i="8"/>
  <c r="AB112" i="8"/>
  <c r="AC113" i="8"/>
  <c r="AD114" i="8"/>
  <c r="AD328" i="8"/>
  <c r="AC327" i="8"/>
  <c r="AB326" i="8"/>
  <c r="AB323" i="8"/>
  <c r="AC328" i="8"/>
  <c r="AB327" i="8"/>
  <c r="AD325" i="8"/>
  <c r="AB328" i="8"/>
  <c r="AD326" i="8"/>
  <c r="AC325" i="8"/>
  <c r="AD323" i="8"/>
  <c r="AD384" i="8"/>
  <c r="AC383" i="8"/>
  <c r="AB382" i="8"/>
  <c r="AB379" i="8"/>
  <c r="AC384" i="8"/>
  <c r="AB383" i="8"/>
  <c r="AD381" i="8"/>
  <c r="AB384" i="8"/>
  <c r="AD382" i="8"/>
  <c r="AC381" i="8"/>
  <c r="AD379" i="8"/>
  <c r="AC58" i="8"/>
  <c r="AB60" i="8"/>
  <c r="AC61" i="8"/>
  <c r="AC72" i="8"/>
  <c r="AB74" i="8"/>
  <c r="AC75" i="8"/>
  <c r="AC90" i="8"/>
  <c r="AC110" i="8"/>
  <c r="AD130" i="8"/>
  <c r="AC129" i="8"/>
  <c r="AB128" i="8"/>
  <c r="AB125" i="8"/>
  <c r="AC130" i="8"/>
  <c r="AB129" i="8"/>
  <c r="AD127" i="8"/>
  <c r="AB130" i="8"/>
  <c r="AD128" i="8"/>
  <c r="AC127" i="8"/>
  <c r="AD125" i="8"/>
  <c r="AB127" i="8"/>
  <c r="AC128" i="8"/>
  <c r="AD129" i="8"/>
  <c r="AC323" i="8"/>
  <c r="AD342" i="8"/>
  <c r="AC341" i="8"/>
  <c r="AB340" i="8"/>
  <c r="AB337" i="8"/>
  <c r="AC342" i="8"/>
  <c r="AB341" i="8"/>
  <c r="AD339" i="8"/>
  <c r="AB342" i="8"/>
  <c r="AD340" i="8"/>
  <c r="AC339" i="8"/>
  <c r="AD337" i="8"/>
  <c r="AB339" i="8"/>
  <c r="AC340" i="8"/>
  <c r="AD341" i="8"/>
  <c r="AC379" i="8"/>
  <c r="AG410" i="8"/>
  <c r="N586" i="29" s="1"/>
  <c r="AD410" i="8"/>
  <c r="AG461" i="8"/>
  <c r="N630" i="29" s="1"/>
  <c r="AD461" i="8"/>
  <c r="AB103" i="8"/>
  <c r="AB106" i="8"/>
  <c r="AC107" i="8"/>
  <c r="AB117" i="8"/>
  <c r="AB120" i="8"/>
  <c r="AC121" i="8"/>
  <c r="AB288" i="8"/>
  <c r="AB291" i="8"/>
  <c r="AC292" i="8"/>
  <c r="AD293" i="8"/>
  <c r="AB302" i="8"/>
  <c r="AB305" i="8"/>
  <c r="AC306" i="8"/>
  <c r="AD307" i="8"/>
  <c r="AB316" i="8"/>
  <c r="AB319" i="8"/>
  <c r="AC320" i="8"/>
  <c r="AB330" i="8"/>
  <c r="AB333" i="8"/>
  <c r="AC334" i="8"/>
  <c r="AD335" i="8"/>
  <c r="AB344" i="8"/>
  <c r="AB347" i="8"/>
  <c r="AC348" i="8"/>
  <c r="AD349" i="8"/>
  <c r="AB358" i="8"/>
  <c r="AB361" i="8"/>
  <c r="AC362" i="8"/>
  <c r="AD363" i="8"/>
  <c r="AB372" i="8"/>
  <c r="AB375" i="8"/>
  <c r="AC376" i="8"/>
  <c r="AD377" i="8"/>
  <c r="AB386" i="8"/>
  <c r="AG387" i="8"/>
  <c r="AI391" i="8" s="1"/>
  <c r="AB388" i="8"/>
  <c r="AD389" i="8"/>
  <c r="AG393" i="8"/>
  <c r="AG394" i="8"/>
  <c r="AG407" i="8"/>
  <c r="AD407" i="8"/>
  <c r="AG408" i="8"/>
  <c r="AD418" i="8"/>
  <c r="AG435" i="8"/>
  <c r="AD435" i="8"/>
  <c r="AG436" i="8"/>
  <c r="AG463" i="8"/>
  <c r="AD463" i="8"/>
  <c r="AG464" i="8"/>
  <c r="AD573" i="8"/>
  <c r="AC572" i="8"/>
  <c r="AB571" i="8"/>
  <c r="AB568" i="8"/>
  <c r="AC573" i="8"/>
  <c r="AB572" i="8"/>
  <c r="AD570" i="8"/>
  <c r="AB573" i="8"/>
  <c r="AD571" i="8"/>
  <c r="AC570" i="8"/>
  <c r="AD568" i="8"/>
  <c r="AC571" i="8"/>
  <c r="AB570" i="8"/>
  <c r="AC568" i="8"/>
  <c r="AD572" i="8"/>
  <c r="AC103" i="8"/>
  <c r="AB105" i="8"/>
  <c r="AC106" i="8"/>
  <c r="AD107" i="8"/>
  <c r="AC117" i="8"/>
  <c r="AB119" i="8"/>
  <c r="AC120" i="8"/>
  <c r="AD121" i="8"/>
  <c r="AC288" i="8"/>
  <c r="AB290" i="8"/>
  <c r="AC291" i="8"/>
  <c r="AD292" i="8"/>
  <c r="AC302" i="8"/>
  <c r="AB304" i="8"/>
  <c r="AC305" i="8"/>
  <c r="AD306" i="8"/>
  <c r="AB318" i="8"/>
  <c r="AC319" i="8"/>
  <c r="AD320" i="8"/>
  <c r="AC330" i="8"/>
  <c r="AB332" i="8"/>
  <c r="AC333" i="8"/>
  <c r="AD334" i="8"/>
  <c r="AC344" i="8"/>
  <c r="AB346" i="8"/>
  <c r="AC347" i="8"/>
  <c r="AD348" i="8"/>
  <c r="AC358" i="8"/>
  <c r="AB360" i="8"/>
  <c r="AC361" i="8"/>
  <c r="AD362" i="8"/>
  <c r="AC372" i="8"/>
  <c r="AB374" i="8"/>
  <c r="AC375" i="8"/>
  <c r="AD376" i="8"/>
  <c r="AC391" i="8"/>
  <c r="AB390" i="8"/>
  <c r="AD388" i="8"/>
  <c r="AC386" i="8"/>
  <c r="AC388" i="8"/>
  <c r="AD390" i="8"/>
  <c r="AB391" i="8"/>
  <c r="AG401" i="8"/>
  <c r="AG400" i="8"/>
  <c r="AD400" i="8"/>
  <c r="AG419" i="8"/>
  <c r="N593" i="29" s="1"/>
  <c r="AD419" i="8"/>
  <c r="AG424" i="8"/>
  <c r="N598" i="29" s="1"/>
  <c r="AD424" i="8"/>
  <c r="AG447" i="8"/>
  <c r="N617" i="29" s="1"/>
  <c r="AD447" i="8"/>
  <c r="AG452" i="8"/>
  <c r="N622" i="29" s="1"/>
  <c r="AD452" i="8"/>
  <c r="AD103" i="8"/>
  <c r="AC105" i="8"/>
  <c r="AD106" i="8"/>
  <c r="AD117" i="8"/>
  <c r="AC119" i="8"/>
  <c r="AD120" i="8"/>
  <c r="AD288" i="8"/>
  <c r="AC290" i="8"/>
  <c r="AD291" i="8"/>
  <c r="AD302" i="8"/>
  <c r="AC304" i="8"/>
  <c r="AD305" i="8"/>
  <c r="AD316" i="8"/>
  <c r="AC318" i="8"/>
  <c r="AD319" i="8"/>
  <c r="AD330" i="8"/>
  <c r="AC332" i="8"/>
  <c r="AD333" i="8"/>
  <c r="AD344" i="8"/>
  <c r="AC346" i="8"/>
  <c r="AD347" i="8"/>
  <c r="AD358" i="8"/>
  <c r="AC360" i="8"/>
  <c r="AD361" i="8"/>
  <c r="AD372" i="8"/>
  <c r="AC374" i="8"/>
  <c r="AD375" i="8"/>
  <c r="AD386" i="8"/>
  <c r="AB389" i="8"/>
  <c r="AD391" i="8"/>
  <c r="AD404" i="8"/>
  <c r="AG421" i="8"/>
  <c r="N595" i="29" s="1"/>
  <c r="AD421" i="8"/>
  <c r="AG422" i="8"/>
  <c r="AD432" i="8"/>
  <c r="AG449" i="8"/>
  <c r="AD449" i="8"/>
  <c r="AG450" i="8"/>
  <c r="AD460" i="8"/>
  <c r="AD545" i="8"/>
  <c r="AC545" i="8"/>
  <c r="AB544" i="8"/>
  <c r="AD542" i="8"/>
  <c r="AB545" i="8"/>
  <c r="AD543" i="8"/>
  <c r="AC542" i="8"/>
  <c r="AD540" i="8"/>
  <c r="AC544" i="8"/>
  <c r="AC543" i="8"/>
  <c r="AB540" i="8"/>
  <c r="AB543" i="8"/>
  <c r="AB542" i="8"/>
  <c r="AD544" i="8"/>
  <c r="AC540" i="8"/>
  <c r="AC393" i="8"/>
  <c r="AB395" i="8"/>
  <c r="AC396" i="8"/>
  <c r="AH396" i="8" s="1"/>
  <c r="AD402" i="8"/>
  <c r="AB404" i="8"/>
  <c r="AC405" i="8"/>
  <c r="AC407" i="8"/>
  <c r="AB409" i="8"/>
  <c r="AC410" i="8"/>
  <c r="AG414" i="8"/>
  <c r="N589" i="29" s="1"/>
  <c r="AD416" i="8"/>
  <c r="AB418" i="8"/>
  <c r="AC419" i="8"/>
  <c r="AC421" i="8"/>
  <c r="AB423" i="8"/>
  <c r="AC424" i="8"/>
  <c r="AG428" i="8"/>
  <c r="AI433" i="8" s="1"/>
  <c r="AD430" i="8"/>
  <c r="AB432" i="8"/>
  <c r="AC433" i="8"/>
  <c r="AC435" i="8"/>
  <c r="AB437" i="8"/>
  <c r="AC438" i="8"/>
  <c r="AG442" i="8"/>
  <c r="AD444" i="8"/>
  <c r="AB446" i="8"/>
  <c r="AC447" i="8"/>
  <c r="AC449" i="8"/>
  <c r="AB451" i="8"/>
  <c r="AC452" i="8"/>
  <c r="AG456" i="8"/>
  <c r="N625" i="29" s="1"/>
  <c r="AD458" i="8"/>
  <c r="AB460" i="8"/>
  <c r="AC461" i="8"/>
  <c r="AD467" i="8"/>
  <c r="AC466" i="8"/>
  <c r="AB465" i="8"/>
  <c r="AD468" i="8"/>
  <c r="AC467" i="8"/>
  <c r="AB466" i="8"/>
  <c r="AC468" i="8"/>
  <c r="AB467" i="8"/>
  <c r="AD465" i="8"/>
  <c r="AC463" i="8"/>
  <c r="AC465" i="8"/>
  <c r="AG526" i="8"/>
  <c r="N685" i="29" s="1"/>
  <c r="AG527" i="8"/>
  <c r="AC537" i="8"/>
  <c r="AG512" i="8"/>
  <c r="AG513" i="8"/>
  <c r="N674" i="29" s="1"/>
  <c r="AD523" i="8"/>
  <c r="AC400" i="8"/>
  <c r="AB402" i="8"/>
  <c r="AC403" i="8"/>
  <c r="AC414" i="8"/>
  <c r="AH414" i="8" s="1"/>
  <c r="AB416" i="8"/>
  <c r="AC417" i="8"/>
  <c r="AC428" i="8"/>
  <c r="AB430" i="8"/>
  <c r="AC431" i="8"/>
  <c r="AC442" i="8"/>
  <c r="AB444" i="8"/>
  <c r="AC445" i="8"/>
  <c r="AC456" i="8"/>
  <c r="AB458" i="8"/>
  <c r="AC459" i="8"/>
  <c r="AG470" i="8"/>
  <c r="AG471" i="8"/>
  <c r="AG484" i="8"/>
  <c r="AG485" i="8"/>
  <c r="AG498" i="8"/>
  <c r="AG499" i="8"/>
  <c r="AC470" i="8"/>
  <c r="AB472" i="8"/>
  <c r="AC473" i="8"/>
  <c r="AD474" i="8"/>
  <c r="AG477" i="8"/>
  <c r="AI482" i="8" s="1"/>
  <c r="AD479" i="8"/>
  <c r="AB481" i="8"/>
  <c r="AC482" i="8"/>
  <c r="AC484" i="8"/>
  <c r="AB486" i="8"/>
  <c r="AC487" i="8"/>
  <c r="AD488" i="8"/>
  <c r="AG491" i="8"/>
  <c r="AI496" i="8" s="1"/>
  <c r="AD493" i="8"/>
  <c r="AB495" i="8"/>
  <c r="AC496" i="8"/>
  <c r="AC498" i="8"/>
  <c r="AB500" i="8"/>
  <c r="AC501" i="8"/>
  <c r="AD502" i="8"/>
  <c r="AD507" i="8"/>
  <c r="AB509" i="8"/>
  <c r="AC510" i="8"/>
  <c r="AC512" i="8"/>
  <c r="AB514" i="8"/>
  <c r="AC515" i="8"/>
  <c r="AD516" i="8"/>
  <c r="AD521" i="8"/>
  <c r="AB523" i="8"/>
  <c r="AC524" i="8"/>
  <c r="AC526" i="8"/>
  <c r="AB528" i="8"/>
  <c r="AC529" i="8"/>
  <c r="AD530" i="8"/>
  <c r="AD535" i="8"/>
  <c r="AB537" i="8"/>
  <c r="AC538" i="8"/>
  <c r="AD559" i="8"/>
  <c r="AC558" i="8"/>
  <c r="AB557" i="8"/>
  <c r="AB554" i="8"/>
  <c r="AC559" i="8"/>
  <c r="AB558" i="8"/>
  <c r="AD556" i="8"/>
  <c r="AB559" i="8"/>
  <c r="AD557" i="8"/>
  <c r="AC556" i="8"/>
  <c r="AD554" i="8"/>
  <c r="AB598" i="8"/>
  <c r="AD615" i="8"/>
  <c r="AC614" i="8"/>
  <c r="AB613" i="8"/>
  <c r="AB610" i="8"/>
  <c r="AC615" i="8"/>
  <c r="AB614" i="8"/>
  <c r="AD612" i="8"/>
  <c r="AB615" i="8"/>
  <c r="AD613" i="8"/>
  <c r="AC612" i="8"/>
  <c r="AD610" i="8"/>
  <c r="AD470" i="8"/>
  <c r="AC472" i="8"/>
  <c r="AD473" i="8"/>
  <c r="AB475" i="8"/>
  <c r="AB477" i="8"/>
  <c r="AB480" i="8"/>
  <c r="AC481" i="8"/>
  <c r="AD482" i="8"/>
  <c r="AD484" i="8"/>
  <c r="AC486" i="8"/>
  <c r="AD487" i="8"/>
  <c r="AB489" i="8"/>
  <c r="AB491" i="8"/>
  <c r="AB494" i="8"/>
  <c r="AC495" i="8"/>
  <c r="AD496" i="8"/>
  <c r="AD498" i="8"/>
  <c r="AC500" i="8"/>
  <c r="AD501" i="8"/>
  <c r="AB503" i="8"/>
  <c r="AB505" i="8"/>
  <c r="AB508" i="8"/>
  <c r="AC509" i="8"/>
  <c r="AD510" i="8"/>
  <c r="AD512" i="8"/>
  <c r="AC514" i="8"/>
  <c r="AD515" i="8"/>
  <c r="AB517" i="8"/>
  <c r="AB519" i="8"/>
  <c r="AB522" i="8"/>
  <c r="AC523" i="8"/>
  <c r="AD524" i="8"/>
  <c r="AD526" i="8"/>
  <c r="AC528" i="8"/>
  <c r="AD529" i="8"/>
  <c r="AB531" i="8"/>
  <c r="AB533" i="8"/>
  <c r="AB536" i="8"/>
  <c r="AG541" i="8"/>
  <c r="AI545" i="8" s="1"/>
  <c r="AC582" i="8"/>
  <c r="AB584" i="8"/>
  <c r="AD601" i="8"/>
  <c r="AC600" i="8"/>
  <c r="AB599" i="8"/>
  <c r="AB596" i="8"/>
  <c r="AC601" i="8"/>
  <c r="AB600" i="8"/>
  <c r="AD598" i="8"/>
  <c r="AB601" i="8"/>
  <c r="AD599" i="8"/>
  <c r="AC598" i="8"/>
  <c r="AD596" i="8"/>
  <c r="AD472" i="8"/>
  <c r="AB474" i="8"/>
  <c r="AC477" i="8"/>
  <c r="AB479" i="8"/>
  <c r="AC480" i="8"/>
  <c r="AD486" i="8"/>
  <c r="AB488" i="8"/>
  <c r="AC491" i="8"/>
  <c r="AB493" i="8"/>
  <c r="AC494" i="8"/>
  <c r="AD500" i="8"/>
  <c r="AB502" i="8"/>
  <c r="AC505" i="8"/>
  <c r="AB507" i="8"/>
  <c r="AC508" i="8"/>
  <c r="AD514" i="8"/>
  <c r="AB516" i="8"/>
  <c r="AC519" i="8"/>
  <c r="AB521" i="8"/>
  <c r="AC522" i="8"/>
  <c r="AD528" i="8"/>
  <c r="AB530" i="8"/>
  <c r="AD538" i="8"/>
  <c r="AC533" i="8"/>
  <c r="AB535" i="8"/>
  <c r="AC536" i="8"/>
  <c r="AD537" i="8"/>
  <c r="AD558" i="8"/>
  <c r="AB566" i="8"/>
  <c r="AD587" i="8"/>
  <c r="AC586" i="8"/>
  <c r="AB585" i="8"/>
  <c r="AB582" i="8"/>
  <c r="AC587" i="8"/>
  <c r="AB586" i="8"/>
  <c r="AD584" i="8"/>
  <c r="AB587" i="8"/>
  <c r="AD585" i="8"/>
  <c r="AC584" i="8"/>
  <c r="AD582" i="8"/>
  <c r="AD614" i="8"/>
  <c r="AB622" i="8"/>
  <c r="AB547" i="8"/>
  <c r="AB550" i="8"/>
  <c r="AC551" i="8"/>
  <c r="AD552" i="8"/>
  <c r="AB561" i="8"/>
  <c r="AB564" i="8"/>
  <c r="AC565" i="8"/>
  <c r="AD566" i="8"/>
  <c r="AB575" i="8"/>
  <c r="AB578" i="8"/>
  <c r="AC579" i="8"/>
  <c r="AD580" i="8"/>
  <c r="AB589" i="8"/>
  <c r="AB592" i="8"/>
  <c r="AC593" i="8"/>
  <c r="AD594" i="8"/>
  <c r="AB603" i="8"/>
  <c r="AB606" i="8"/>
  <c r="AC607" i="8"/>
  <c r="AD608" i="8"/>
  <c r="AB617" i="8"/>
  <c r="AB620" i="8"/>
  <c r="AC621" i="8"/>
  <c r="AD622" i="8"/>
  <c r="AC547" i="8"/>
  <c r="AB549" i="8"/>
  <c r="AC550" i="8"/>
  <c r="AD551" i="8"/>
  <c r="AC561" i="8"/>
  <c r="AB563" i="8"/>
  <c r="AC564" i="8"/>
  <c r="AD565" i="8"/>
  <c r="AC575" i="8"/>
  <c r="AB577" i="8"/>
  <c r="AC578" i="8"/>
  <c r="AD579" i="8"/>
  <c r="AC589" i="8"/>
  <c r="AB591" i="8"/>
  <c r="AC592" i="8"/>
  <c r="AD593" i="8"/>
  <c r="AB605" i="8"/>
  <c r="AC606" i="8"/>
  <c r="AD607" i="8"/>
  <c r="AC617" i="8"/>
  <c r="AB619" i="8"/>
  <c r="AC620" i="8"/>
  <c r="AD621" i="8"/>
  <c r="AD592" i="8"/>
  <c r="AD606" i="8"/>
  <c r="AC619" i="8"/>
  <c r="AD620" i="8"/>
  <c r="T63" i="12"/>
  <c r="Z63" i="12" s="1"/>
  <c r="T66" i="12"/>
  <c r="Z66" i="12" s="1"/>
  <c r="S72" i="12"/>
  <c r="Y72" i="12" s="1"/>
  <c r="U74" i="12"/>
  <c r="AA74" i="12" s="1"/>
  <c r="T77" i="12"/>
  <c r="Z77" i="12" s="1"/>
  <c r="U81" i="12"/>
  <c r="AA81" i="12" s="1"/>
  <c r="T84" i="12"/>
  <c r="Z84" i="12" s="1"/>
  <c r="S93" i="12"/>
  <c r="Y93" i="12" s="1"/>
  <c r="U95" i="12"/>
  <c r="AA95" i="12" s="1"/>
  <c r="T98" i="12"/>
  <c r="Z98" i="12" s="1"/>
  <c r="T105" i="12"/>
  <c r="Z105" i="12" s="1"/>
  <c r="S114" i="12"/>
  <c r="Y114" i="12" s="1"/>
  <c r="T115" i="12"/>
  <c r="Z115" i="12" s="1"/>
  <c r="T118" i="12"/>
  <c r="Z118" i="12" s="1"/>
  <c r="U122" i="12"/>
  <c r="AA122" i="12" s="1"/>
  <c r="T132" i="12"/>
  <c r="Z132" i="12" s="1"/>
  <c r="T139" i="12"/>
  <c r="Z139" i="12" s="1"/>
  <c r="T145" i="12"/>
  <c r="Z145" i="12" s="1"/>
  <c r="T148" i="12"/>
  <c r="Z148" i="12" s="1"/>
  <c r="T158" i="12"/>
  <c r="Z158" i="12" s="1"/>
  <c r="T161" i="12"/>
  <c r="Z161" i="12" s="1"/>
  <c r="T164" i="12"/>
  <c r="Z164" i="12" s="1"/>
  <c r="U410" i="12"/>
  <c r="AA410" i="12" s="1"/>
  <c r="T409" i="12"/>
  <c r="Z409" i="12" s="1"/>
  <c r="S408" i="12"/>
  <c r="Y408" i="12" s="1"/>
  <c r="T406" i="12"/>
  <c r="Z406" i="12" s="1"/>
  <c r="T488" i="12"/>
  <c r="Z488" i="12" s="1"/>
  <c r="S487" i="12"/>
  <c r="Y487" i="12" s="1"/>
  <c r="U485" i="12"/>
  <c r="AA485" i="12" s="1"/>
  <c r="S488" i="12"/>
  <c r="Y488" i="12" s="1"/>
  <c r="U486" i="12"/>
  <c r="AA486" i="12" s="1"/>
  <c r="T485" i="12"/>
  <c r="Z485" i="12" s="1"/>
  <c r="U483" i="12"/>
  <c r="AA483" i="12" s="1"/>
  <c r="S485" i="12"/>
  <c r="Y485" i="12" s="1"/>
  <c r="S483" i="12"/>
  <c r="Y483" i="12" s="1"/>
  <c r="T486" i="12"/>
  <c r="Z486" i="12" s="1"/>
  <c r="U487" i="12"/>
  <c r="AA487" i="12" s="1"/>
  <c r="S486" i="12"/>
  <c r="Y486" i="12" s="1"/>
  <c r="T487" i="12"/>
  <c r="Z487" i="12" s="1"/>
  <c r="S61" i="12"/>
  <c r="Y61" i="12" s="1"/>
  <c r="U63" i="12"/>
  <c r="AA63" i="12" s="1"/>
  <c r="T65" i="12"/>
  <c r="Z65" i="12" s="1"/>
  <c r="U66" i="12"/>
  <c r="AA66" i="12" s="1"/>
  <c r="S68" i="12"/>
  <c r="Y68" i="12" s="1"/>
  <c r="U70" i="12"/>
  <c r="AA70" i="12" s="1"/>
  <c r="T72" i="12"/>
  <c r="Z72" i="12" s="1"/>
  <c r="U73" i="12"/>
  <c r="AA73" i="12" s="1"/>
  <c r="S75" i="12"/>
  <c r="Y75" i="12" s="1"/>
  <c r="U77" i="12"/>
  <c r="AA77" i="12" s="1"/>
  <c r="T79" i="12"/>
  <c r="Z79" i="12" s="1"/>
  <c r="U80" i="12"/>
  <c r="AA80" i="12" s="1"/>
  <c r="S82" i="12"/>
  <c r="Y82" i="12" s="1"/>
  <c r="U84" i="12"/>
  <c r="AA84" i="12" s="1"/>
  <c r="T86" i="12"/>
  <c r="Z86" i="12" s="1"/>
  <c r="U87" i="12"/>
  <c r="AA87" i="12" s="1"/>
  <c r="S89" i="12"/>
  <c r="Y89" i="12" s="1"/>
  <c r="U91" i="12"/>
  <c r="AA91" i="12" s="1"/>
  <c r="T93" i="12"/>
  <c r="Z93" i="12" s="1"/>
  <c r="U94" i="12"/>
  <c r="AA94" i="12" s="1"/>
  <c r="S96" i="12"/>
  <c r="Y96" i="12" s="1"/>
  <c r="U98" i="12"/>
  <c r="AA98" i="12" s="1"/>
  <c r="T100" i="12"/>
  <c r="Z100" i="12" s="1"/>
  <c r="U101" i="12"/>
  <c r="AA101" i="12" s="1"/>
  <c r="S103" i="12"/>
  <c r="Y103" i="12" s="1"/>
  <c r="U105" i="12"/>
  <c r="AA105" i="12" s="1"/>
  <c r="T107" i="12"/>
  <c r="Z107" i="12" s="1"/>
  <c r="U108" i="12"/>
  <c r="AA108" i="12" s="1"/>
  <c r="S110" i="12"/>
  <c r="Y110" i="12" s="1"/>
  <c r="U112" i="12"/>
  <c r="AA112" i="12" s="1"/>
  <c r="T114" i="12"/>
  <c r="Z114" i="12" s="1"/>
  <c r="U115" i="12"/>
  <c r="AA115" i="12" s="1"/>
  <c r="S117" i="12"/>
  <c r="Y117" i="12" s="1"/>
  <c r="U118" i="12"/>
  <c r="AA118" i="12" s="1"/>
  <c r="T120" i="12"/>
  <c r="Z120" i="12" s="1"/>
  <c r="U121" i="12"/>
  <c r="AA121" i="12" s="1"/>
  <c r="S123" i="12"/>
  <c r="Y123" i="12" s="1"/>
  <c r="U132" i="12"/>
  <c r="AA132" i="12" s="1"/>
  <c r="T134" i="12"/>
  <c r="Z134" i="12" s="1"/>
  <c r="U135" i="12"/>
  <c r="AA135" i="12" s="1"/>
  <c r="S137" i="12"/>
  <c r="Y137" i="12" s="1"/>
  <c r="U139" i="12"/>
  <c r="AA139" i="12" s="1"/>
  <c r="T141" i="12"/>
  <c r="Z141" i="12" s="1"/>
  <c r="U142" i="12"/>
  <c r="AA142" i="12" s="1"/>
  <c r="S144" i="12"/>
  <c r="Y144" i="12" s="1"/>
  <c r="U145" i="12"/>
  <c r="AA145" i="12" s="1"/>
  <c r="T147" i="12"/>
  <c r="Z147" i="12" s="1"/>
  <c r="U148" i="12"/>
  <c r="AA148" i="12" s="1"/>
  <c r="S150" i="12"/>
  <c r="Y150" i="12" s="1"/>
  <c r="U158" i="12"/>
  <c r="AA158" i="12" s="1"/>
  <c r="T160" i="12"/>
  <c r="Z160" i="12" s="1"/>
  <c r="U161" i="12"/>
  <c r="AA161" i="12" s="1"/>
  <c r="S163" i="12"/>
  <c r="Y163" i="12" s="1"/>
  <c r="U164" i="12"/>
  <c r="AA164" i="12" s="1"/>
  <c r="T166" i="12"/>
  <c r="Z166" i="12" s="1"/>
  <c r="U167" i="12"/>
  <c r="AA167" i="12" s="1"/>
  <c r="S169" i="12"/>
  <c r="Y169" i="12" s="1"/>
  <c r="S371" i="12"/>
  <c r="Y371" i="12" s="1"/>
  <c r="U373" i="12"/>
  <c r="AA373" i="12" s="1"/>
  <c r="S374" i="12"/>
  <c r="Y374" i="12" s="1"/>
  <c r="T380" i="12"/>
  <c r="Z380" i="12" s="1"/>
  <c r="U383" i="12"/>
  <c r="AA383" i="12" s="1"/>
  <c r="U389" i="12"/>
  <c r="AA389" i="12" s="1"/>
  <c r="T388" i="12"/>
  <c r="Z388" i="12" s="1"/>
  <c r="AE388" i="12" s="1"/>
  <c r="S387" i="12"/>
  <c r="Y387" i="12" s="1"/>
  <c r="T385" i="12"/>
  <c r="Z385" i="12" s="1"/>
  <c r="T389" i="12"/>
  <c r="Z389" i="12" s="1"/>
  <c r="T390" i="12"/>
  <c r="Z390" i="12" s="1"/>
  <c r="AD393" i="12"/>
  <c r="N482" i="29" s="1"/>
  <c r="U395" i="12"/>
  <c r="AA395" i="12" s="1"/>
  <c r="S396" i="12"/>
  <c r="Y396" i="12" s="1"/>
  <c r="S399" i="12"/>
  <c r="Y399" i="12" s="1"/>
  <c r="U401" i="12"/>
  <c r="AA401" i="12" s="1"/>
  <c r="S402" i="12"/>
  <c r="Y402" i="12" s="1"/>
  <c r="T408" i="12"/>
  <c r="Z408" i="12" s="1"/>
  <c r="U411" i="12"/>
  <c r="AA411" i="12" s="1"/>
  <c r="U417" i="12"/>
  <c r="AA417" i="12" s="1"/>
  <c r="T416" i="12"/>
  <c r="Z416" i="12" s="1"/>
  <c r="S415" i="12"/>
  <c r="Y415" i="12" s="1"/>
  <c r="T413" i="12"/>
  <c r="Z413" i="12" s="1"/>
  <c r="U418" i="12"/>
  <c r="AA418" i="12" s="1"/>
  <c r="T417" i="12"/>
  <c r="Z417" i="12" s="1"/>
  <c r="S416" i="12"/>
  <c r="Y416" i="12" s="1"/>
  <c r="U415" i="12"/>
  <c r="AA415" i="12" s="1"/>
  <c r="S418" i="12"/>
  <c r="Y418" i="12" s="1"/>
  <c r="U427" i="12"/>
  <c r="AA427" i="12" s="1"/>
  <c r="U430" i="12"/>
  <c r="AA430" i="12" s="1"/>
  <c r="AD462" i="12"/>
  <c r="N541" i="29" s="1"/>
  <c r="U488" i="12"/>
  <c r="AA488" i="12" s="1"/>
  <c r="S65" i="12"/>
  <c r="Y65" i="12" s="1"/>
  <c r="U67" i="12"/>
  <c r="AA67" i="12" s="1"/>
  <c r="T70" i="12"/>
  <c r="Z70" i="12" s="1"/>
  <c r="T73" i="12"/>
  <c r="Z73" i="12" s="1"/>
  <c r="S79" i="12"/>
  <c r="Y79" i="12" s="1"/>
  <c r="T80" i="12"/>
  <c r="Z80" i="12" s="1"/>
  <c r="T91" i="12"/>
  <c r="Z91" i="12" s="1"/>
  <c r="T94" i="12"/>
  <c r="Z94" i="12" s="1"/>
  <c r="T112" i="12"/>
  <c r="Z112" i="12" s="1"/>
  <c r="S120" i="12"/>
  <c r="Y120" i="12" s="1"/>
  <c r="T121" i="12"/>
  <c r="Z121" i="12" s="1"/>
  <c r="S134" i="12"/>
  <c r="Y134" i="12" s="1"/>
  <c r="U136" i="12"/>
  <c r="AA136" i="12" s="1"/>
  <c r="S141" i="12"/>
  <c r="Y141" i="12" s="1"/>
  <c r="T142" i="12"/>
  <c r="Z142" i="12" s="1"/>
  <c r="S147" i="12"/>
  <c r="Y147" i="12" s="1"/>
  <c r="U162" i="12"/>
  <c r="AA162" i="12" s="1"/>
  <c r="S166" i="12"/>
  <c r="Y166" i="12" s="1"/>
  <c r="T167" i="12"/>
  <c r="Z167" i="12" s="1"/>
  <c r="U424" i="12"/>
  <c r="AA424" i="12" s="1"/>
  <c r="T423" i="12"/>
  <c r="Z423" i="12" s="1"/>
  <c r="S422" i="12"/>
  <c r="Y422" i="12" s="1"/>
  <c r="T420" i="12"/>
  <c r="Z420" i="12" s="1"/>
  <c r="U425" i="12"/>
  <c r="AA425" i="12" s="1"/>
  <c r="T424" i="12"/>
  <c r="Z424" i="12" s="1"/>
  <c r="S423" i="12"/>
  <c r="Y423" i="12" s="1"/>
  <c r="S420" i="12"/>
  <c r="Y420" i="12" s="1"/>
  <c r="T425" i="12"/>
  <c r="Z425" i="12" s="1"/>
  <c r="S453" i="12"/>
  <c r="Y453" i="12" s="1"/>
  <c r="U451" i="12"/>
  <c r="AA451" i="12" s="1"/>
  <c r="T450" i="12"/>
  <c r="Z450" i="12" s="1"/>
  <c r="U448" i="12"/>
  <c r="AA448" i="12" s="1"/>
  <c r="T452" i="12"/>
  <c r="Z452" i="12" s="1"/>
  <c r="T451" i="12"/>
  <c r="Z451" i="12" s="1"/>
  <c r="S448" i="12"/>
  <c r="Y448" i="12" s="1"/>
  <c r="S452" i="12"/>
  <c r="Y452" i="12" s="1"/>
  <c r="S451" i="12"/>
  <c r="Y451" i="12" s="1"/>
  <c r="U450" i="12"/>
  <c r="AA450" i="12" s="1"/>
  <c r="U453" i="12"/>
  <c r="AA453" i="12" s="1"/>
  <c r="S450" i="12"/>
  <c r="Y450" i="12" s="1"/>
  <c r="Y466" i="12"/>
  <c r="T61" i="12"/>
  <c r="Z61" i="12" s="1"/>
  <c r="U65" i="12"/>
  <c r="AA65" i="12" s="1"/>
  <c r="S67" i="12"/>
  <c r="Y67" i="12" s="1"/>
  <c r="T68" i="12"/>
  <c r="Z68" i="12" s="1"/>
  <c r="U72" i="12"/>
  <c r="AA72" i="12" s="1"/>
  <c r="S74" i="12"/>
  <c r="Y74" i="12" s="1"/>
  <c r="T75" i="12"/>
  <c r="Z75" i="12" s="1"/>
  <c r="U79" i="12"/>
  <c r="AA79" i="12" s="1"/>
  <c r="S81" i="12"/>
  <c r="Y81" i="12" s="1"/>
  <c r="T82" i="12"/>
  <c r="Z82" i="12" s="1"/>
  <c r="U86" i="12"/>
  <c r="AA86" i="12" s="1"/>
  <c r="S88" i="12"/>
  <c r="Y88" i="12" s="1"/>
  <c r="T89" i="12"/>
  <c r="Z89" i="12" s="1"/>
  <c r="U93" i="12"/>
  <c r="AA93" i="12" s="1"/>
  <c r="S95" i="12"/>
  <c r="Y95" i="12" s="1"/>
  <c r="T96" i="12"/>
  <c r="Z96" i="12" s="1"/>
  <c r="U100" i="12"/>
  <c r="AA100" i="12" s="1"/>
  <c r="S102" i="12"/>
  <c r="Y102" i="12" s="1"/>
  <c r="T103" i="12"/>
  <c r="Z103" i="12" s="1"/>
  <c r="U107" i="12"/>
  <c r="AA107" i="12" s="1"/>
  <c r="S109" i="12"/>
  <c r="Y109" i="12" s="1"/>
  <c r="T110" i="12"/>
  <c r="Z110" i="12" s="1"/>
  <c r="U114" i="12"/>
  <c r="AA114" i="12" s="1"/>
  <c r="S116" i="12"/>
  <c r="Y116" i="12" s="1"/>
  <c r="T117" i="12"/>
  <c r="Z117" i="12" s="1"/>
  <c r="U120" i="12"/>
  <c r="AA120" i="12" s="1"/>
  <c r="S122" i="12"/>
  <c r="Y122" i="12" s="1"/>
  <c r="T123" i="12"/>
  <c r="Z123" i="12" s="1"/>
  <c r="U134" i="12"/>
  <c r="AA134" i="12" s="1"/>
  <c r="S136" i="12"/>
  <c r="Y136" i="12" s="1"/>
  <c r="T137" i="12"/>
  <c r="Z137" i="12" s="1"/>
  <c r="U141" i="12"/>
  <c r="AA141" i="12" s="1"/>
  <c r="S143" i="12"/>
  <c r="Y143" i="12" s="1"/>
  <c r="T144" i="12"/>
  <c r="Z144" i="12" s="1"/>
  <c r="U147" i="12"/>
  <c r="AA147" i="12" s="1"/>
  <c r="S149" i="12"/>
  <c r="Y149" i="12" s="1"/>
  <c r="T150" i="12"/>
  <c r="Z150" i="12" s="1"/>
  <c r="U160" i="12"/>
  <c r="AA160" i="12" s="1"/>
  <c r="S162" i="12"/>
  <c r="Y162" i="12" s="1"/>
  <c r="T163" i="12"/>
  <c r="Z163" i="12" s="1"/>
  <c r="U166" i="12"/>
  <c r="AA166" i="12" s="1"/>
  <c r="S168" i="12"/>
  <c r="Y168" i="12" s="1"/>
  <c r="T169" i="12"/>
  <c r="Z169" i="12" s="1"/>
  <c r="U371" i="12"/>
  <c r="AA371" i="12" s="1"/>
  <c r="AD372" i="12"/>
  <c r="N464" i="29" s="1"/>
  <c r="U374" i="12"/>
  <c r="AA374" i="12" s="1"/>
  <c r="S375" i="12"/>
  <c r="Y375" i="12" s="1"/>
  <c r="S378" i="12"/>
  <c r="Y378" i="12" s="1"/>
  <c r="U380" i="12"/>
  <c r="AA380" i="12" s="1"/>
  <c r="T387" i="12"/>
  <c r="Z387" i="12" s="1"/>
  <c r="U390" i="12"/>
  <c r="AA390" i="12" s="1"/>
  <c r="U396" i="12"/>
  <c r="AA396" i="12" s="1"/>
  <c r="T395" i="12"/>
  <c r="Z395" i="12" s="1"/>
  <c r="S394" i="12"/>
  <c r="Y394" i="12" s="1"/>
  <c r="T392" i="12"/>
  <c r="Z392" i="12" s="1"/>
  <c r="T396" i="12"/>
  <c r="Z396" i="12" s="1"/>
  <c r="T397" i="12"/>
  <c r="Z397" i="12" s="1"/>
  <c r="AE397" i="12" s="1"/>
  <c r="U399" i="12"/>
  <c r="AA399" i="12" s="1"/>
  <c r="AD400" i="12"/>
  <c r="N488" i="29" s="1"/>
  <c r="U402" i="12"/>
  <c r="AA402" i="12" s="1"/>
  <c r="S403" i="12"/>
  <c r="Y403" i="12" s="1"/>
  <c r="S406" i="12"/>
  <c r="Y406" i="12" s="1"/>
  <c r="U408" i="12"/>
  <c r="AA408" i="12" s="1"/>
  <c r="S409" i="12"/>
  <c r="Y409" i="12" s="1"/>
  <c r="T418" i="12"/>
  <c r="Z418" i="12" s="1"/>
  <c r="U420" i="12"/>
  <c r="AA420" i="12" s="1"/>
  <c r="T422" i="12"/>
  <c r="Z422" i="12" s="1"/>
  <c r="U423" i="12"/>
  <c r="AA423" i="12" s="1"/>
  <c r="S425" i="12"/>
  <c r="Y425" i="12" s="1"/>
  <c r="AD434" i="12"/>
  <c r="N517" i="29" s="1"/>
  <c r="T453" i="12"/>
  <c r="Z453" i="12" s="1"/>
  <c r="AA464" i="12"/>
  <c r="S86" i="12"/>
  <c r="Y86" i="12" s="1"/>
  <c r="AE86" i="12" s="1"/>
  <c r="T87" i="12"/>
  <c r="Z87" i="12" s="1"/>
  <c r="U88" i="12"/>
  <c r="AA88" i="12" s="1"/>
  <c r="S100" i="12"/>
  <c r="Y100" i="12" s="1"/>
  <c r="T101" i="12"/>
  <c r="Z101" i="12" s="1"/>
  <c r="U102" i="12"/>
  <c r="AA102" i="12" s="1"/>
  <c r="S107" i="12"/>
  <c r="Y107" i="12" s="1"/>
  <c r="T108" i="12"/>
  <c r="Z108" i="12" s="1"/>
  <c r="U109" i="12"/>
  <c r="AA109" i="12" s="1"/>
  <c r="U116" i="12"/>
  <c r="AA116" i="12" s="1"/>
  <c r="T135" i="12"/>
  <c r="Z135" i="12" s="1"/>
  <c r="U143" i="12"/>
  <c r="AA143" i="12" s="1"/>
  <c r="U149" i="12"/>
  <c r="AA149" i="12" s="1"/>
  <c r="S160" i="12"/>
  <c r="Y160" i="12" s="1"/>
  <c r="U168" i="12"/>
  <c r="AA168" i="12" s="1"/>
  <c r="U382" i="12"/>
  <c r="AA382" i="12" s="1"/>
  <c r="T381" i="12"/>
  <c r="Z381" i="12" s="1"/>
  <c r="S380" i="12"/>
  <c r="Y380" i="12" s="1"/>
  <c r="T378" i="12"/>
  <c r="Z378" i="12" s="1"/>
  <c r="T382" i="12"/>
  <c r="Z382" i="12" s="1"/>
  <c r="T383" i="12"/>
  <c r="Z383" i="12" s="1"/>
  <c r="T410" i="12"/>
  <c r="Z410" i="12" s="1"/>
  <c r="T411" i="12"/>
  <c r="Z411" i="12" s="1"/>
  <c r="S63" i="12"/>
  <c r="Y63" i="12" s="1"/>
  <c r="S66" i="12"/>
  <c r="Y66" i="12" s="1"/>
  <c r="T67" i="12"/>
  <c r="Z67" i="12" s="1"/>
  <c r="S70" i="12"/>
  <c r="Y70" i="12" s="1"/>
  <c r="S73" i="12"/>
  <c r="Y73" i="12" s="1"/>
  <c r="T74" i="12"/>
  <c r="Z74" i="12" s="1"/>
  <c r="S77" i="12"/>
  <c r="Y77" i="12" s="1"/>
  <c r="S80" i="12"/>
  <c r="Y80" i="12" s="1"/>
  <c r="T81" i="12"/>
  <c r="Z81" i="12" s="1"/>
  <c r="S84" i="12"/>
  <c r="Y84" i="12" s="1"/>
  <c r="S87" i="12"/>
  <c r="Y87" i="12" s="1"/>
  <c r="T88" i="12"/>
  <c r="Z88" i="12" s="1"/>
  <c r="S91" i="12"/>
  <c r="Y91" i="12" s="1"/>
  <c r="S94" i="12"/>
  <c r="Y94" i="12" s="1"/>
  <c r="T95" i="12"/>
  <c r="Z95" i="12" s="1"/>
  <c r="S98" i="12"/>
  <c r="Y98" i="12" s="1"/>
  <c r="S101" i="12"/>
  <c r="Y101" i="12" s="1"/>
  <c r="T102" i="12"/>
  <c r="Z102" i="12" s="1"/>
  <c r="S105" i="12"/>
  <c r="Y105" i="12" s="1"/>
  <c r="S108" i="12"/>
  <c r="Y108" i="12" s="1"/>
  <c r="T109" i="12"/>
  <c r="Z109" i="12" s="1"/>
  <c r="S112" i="12"/>
  <c r="Y112" i="12" s="1"/>
  <c r="S115" i="12"/>
  <c r="Y115" i="12" s="1"/>
  <c r="T116" i="12"/>
  <c r="Z116" i="12" s="1"/>
  <c r="S118" i="12"/>
  <c r="Y118" i="12" s="1"/>
  <c r="S121" i="12"/>
  <c r="Y121" i="12" s="1"/>
  <c r="T122" i="12"/>
  <c r="Z122" i="12" s="1"/>
  <c r="S132" i="12"/>
  <c r="Y132" i="12" s="1"/>
  <c r="S135" i="12"/>
  <c r="Y135" i="12" s="1"/>
  <c r="T136" i="12"/>
  <c r="Z136" i="12" s="1"/>
  <c r="S139" i="12"/>
  <c r="Y139" i="12" s="1"/>
  <c r="S142" i="12"/>
  <c r="Y142" i="12" s="1"/>
  <c r="T143" i="12"/>
  <c r="Z143" i="12" s="1"/>
  <c r="S145" i="12"/>
  <c r="Y145" i="12" s="1"/>
  <c r="S148" i="12"/>
  <c r="Y148" i="12" s="1"/>
  <c r="AE148" i="12" s="1"/>
  <c r="T149" i="12"/>
  <c r="Z149" i="12" s="1"/>
  <c r="S158" i="12"/>
  <c r="Y158" i="12" s="1"/>
  <c r="S161" i="12"/>
  <c r="Y161" i="12" s="1"/>
  <c r="T162" i="12"/>
  <c r="Z162" i="12" s="1"/>
  <c r="S164" i="12"/>
  <c r="Y164" i="12" s="1"/>
  <c r="S167" i="12"/>
  <c r="Y167" i="12" s="1"/>
  <c r="T168" i="12"/>
  <c r="Z168" i="12" s="1"/>
  <c r="U375" i="12"/>
  <c r="AA375" i="12" s="1"/>
  <c r="T374" i="12"/>
  <c r="Z374" i="12" s="1"/>
  <c r="S373" i="12"/>
  <c r="Y373" i="12" s="1"/>
  <c r="T371" i="12"/>
  <c r="Z371" i="12" s="1"/>
  <c r="T375" i="12"/>
  <c r="Z375" i="12" s="1"/>
  <c r="T376" i="12"/>
  <c r="Z376" i="12" s="1"/>
  <c r="AE376" i="12" s="1"/>
  <c r="U378" i="12"/>
  <c r="AA378" i="12" s="1"/>
  <c r="U381" i="12"/>
  <c r="AA381" i="12" s="1"/>
  <c r="S382" i="12"/>
  <c r="Y382" i="12" s="1"/>
  <c r="S383" i="12"/>
  <c r="Y383" i="12" s="1"/>
  <c r="U403" i="12"/>
  <c r="AA403" i="12" s="1"/>
  <c r="T402" i="12"/>
  <c r="Z402" i="12" s="1"/>
  <c r="S401" i="12"/>
  <c r="Y401" i="12" s="1"/>
  <c r="T399" i="12"/>
  <c r="Z399" i="12" s="1"/>
  <c r="T403" i="12"/>
  <c r="Z403" i="12" s="1"/>
  <c r="T404" i="12"/>
  <c r="Z404" i="12" s="1"/>
  <c r="U406" i="12"/>
  <c r="AA406" i="12" s="1"/>
  <c r="U409" i="12"/>
  <c r="AA409" i="12" s="1"/>
  <c r="S410" i="12"/>
  <c r="Y410" i="12" s="1"/>
  <c r="S411" i="12"/>
  <c r="Y411" i="12" s="1"/>
  <c r="U422" i="12"/>
  <c r="AA422" i="12" s="1"/>
  <c r="S432" i="12"/>
  <c r="Y432" i="12" s="1"/>
  <c r="S431" i="12"/>
  <c r="Y431" i="12" s="1"/>
  <c r="T430" i="12"/>
  <c r="Z430" i="12" s="1"/>
  <c r="S429" i="12"/>
  <c r="Y429" i="12" s="1"/>
  <c r="T427" i="12"/>
  <c r="Z427" i="12" s="1"/>
  <c r="U432" i="12"/>
  <c r="AA432" i="12" s="1"/>
  <c r="S430" i="12"/>
  <c r="Y430" i="12" s="1"/>
  <c r="S427" i="12"/>
  <c r="Y427" i="12" s="1"/>
  <c r="T432" i="12"/>
  <c r="Z432" i="12" s="1"/>
  <c r="U431" i="12"/>
  <c r="AA431" i="12" s="1"/>
  <c r="U429" i="12"/>
  <c r="AA429" i="12" s="1"/>
  <c r="T448" i="12"/>
  <c r="Z448" i="12" s="1"/>
  <c r="Y465" i="12"/>
  <c r="T481" i="12"/>
  <c r="Z481" i="12" s="1"/>
  <c r="S480" i="12"/>
  <c r="Y480" i="12" s="1"/>
  <c r="U478" i="12"/>
  <c r="AA478" i="12" s="1"/>
  <c r="S481" i="12"/>
  <c r="Y481" i="12" s="1"/>
  <c r="U479" i="12"/>
  <c r="AA479" i="12" s="1"/>
  <c r="T478" i="12"/>
  <c r="Z478" i="12" s="1"/>
  <c r="U476" i="12"/>
  <c r="AA476" i="12" s="1"/>
  <c r="T479" i="12"/>
  <c r="Z479" i="12" s="1"/>
  <c r="S476" i="12"/>
  <c r="Y476" i="12" s="1"/>
  <c r="U480" i="12"/>
  <c r="AA480" i="12" s="1"/>
  <c r="S479" i="12"/>
  <c r="Y479" i="12" s="1"/>
  <c r="U481" i="12"/>
  <c r="AA481" i="12" s="1"/>
  <c r="T480" i="12"/>
  <c r="Z480" i="12" s="1"/>
  <c r="S478" i="12"/>
  <c r="Y478" i="12" s="1"/>
  <c r="T483" i="12"/>
  <c r="Z483" i="12" s="1"/>
  <c r="AD498" i="12"/>
  <c r="AD497" i="12"/>
  <c r="Z438" i="12"/>
  <c r="AD441" i="12"/>
  <c r="N523" i="29" s="1"/>
  <c r="Y444" i="12"/>
  <c r="S460" i="12"/>
  <c r="Y460" i="12" s="1"/>
  <c r="U458" i="12"/>
  <c r="AA458" i="12" s="1"/>
  <c r="T457" i="12"/>
  <c r="Z457" i="12" s="1"/>
  <c r="U455" i="12"/>
  <c r="AA455" i="12" s="1"/>
  <c r="T455" i="12"/>
  <c r="Z455" i="12" s="1"/>
  <c r="U459" i="12"/>
  <c r="AA459" i="12" s="1"/>
  <c r="T460" i="12"/>
  <c r="Z460" i="12" s="1"/>
  <c r="Z466" i="12"/>
  <c r="AD469" i="12"/>
  <c r="N547" i="29" s="1"/>
  <c r="U509" i="12"/>
  <c r="AA509" i="12" s="1"/>
  <c r="S508" i="12"/>
  <c r="Y508" i="12" s="1"/>
  <c r="U506" i="12"/>
  <c r="AA506" i="12" s="1"/>
  <c r="T509" i="12"/>
  <c r="Z509" i="12" s="1"/>
  <c r="U507" i="12"/>
  <c r="AA507" i="12" s="1"/>
  <c r="T506" i="12"/>
  <c r="Z506" i="12" s="1"/>
  <c r="U504" i="12"/>
  <c r="AA504" i="12" s="1"/>
  <c r="T504" i="12"/>
  <c r="Z504" i="12" s="1"/>
  <c r="T508" i="12"/>
  <c r="Z508" i="12" s="1"/>
  <c r="S439" i="12"/>
  <c r="Y439" i="12" s="1"/>
  <c r="U437" i="12"/>
  <c r="AA437" i="12" s="1"/>
  <c r="T436" i="12"/>
  <c r="Z436" i="12" s="1"/>
  <c r="U434" i="12"/>
  <c r="AA434" i="12" s="1"/>
  <c r="T434" i="12"/>
  <c r="Z434" i="12" s="1"/>
  <c r="U438" i="12"/>
  <c r="AA438" i="12" s="1"/>
  <c r="T439" i="12"/>
  <c r="Z439" i="12" s="1"/>
  <c r="AD448" i="12"/>
  <c r="N529" i="29" s="1"/>
  <c r="S457" i="12"/>
  <c r="Y457" i="12" s="1"/>
  <c r="U460" i="12"/>
  <c r="AA460" i="12" s="1"/>
  <c r="S467" i="12"/>
  <c r="Y467" i="12" s="1"/>
  <c r="U465" i="12"/>
  <c r="AA465" i="12" s="1"/>
  <c r="T464" i="12"/>
  <c r="Z464" i="12" s="1"/>
  <c r="U462" i="12"/>
  <c r="AA462" i="12" s="1"/>
  <c r="T462" i="12"/>
  <c r="Z462" i="12" s="1"/>
  <c r="U466" i="12"/>
  <c r="AA466" i="12" s="1"/>
  <c r="T467" i="12"/>
  <c r="Z467" i="12" s="1"/>
  <c r="Y469" i="12"/>
  <c r="AD476" i="12"/>
  <c r="N553" i="29" s="1"/>
  <c r="T502" i="12"/>
  <c r="Z502" i="12" s="1"/>
  <c r="S501" i="12"/>
  <c r="Y501" i="12" s="1"/>
  <c r="U499" i="12"/>
  <c r="AA499" i="12" s="1"/>
  <c r="S502" i="12"/>
  <c r="Y502" i="12" s="1"/>
  <c r="U500" i="12"/>
  <c r="AA500" i="12" s="1"/>
  <c r="T499" i="12"/>
  <c r="Z499" i="12" s="1"/>
  <c r="U497" i="12"/>
  <c r="AA497" i="12" s="1"/>
  <c r="T497" i="12"/>
  <c r="Z497" i="12" s="1"/>
  <c r="T501" i="12"/>
  <c r="Z501" i="12" s="1"/>
  <c r="U502" i="12"/>
  <c r="AA502" i="12" s="1"/>
  <c r="S507" i="12"/>
  <c r="Y507" i="12" s="1"/>
  <c r="U508" i="12"/>
  <c r="AA508" i="12" s="1"/>
  <c r="S436" i="12"/>
  <c r="Y436" i="12" s="1"/>
  <c r="U439" i="12"/>
  <c r="AA439" i="12" s="1"/>
  <c r="S446" i="12"/>
  <c r="Y446" i="12" s="1"/>
  <c r="U444" i="12"/>
  <c r="AA444" i="12" s="1"/>
  <c r="T443" i="12"/>
  <c r="Z443" i="12" s="1"/>
  <c r="U441" i="12"/>
  <c r="AA441" i="12" s="1"/>
  <c r="T441" i="12"/>
  <c r="Z441" i="12" s="1"/>
  <c r="U445" i="12"/>
  <c r="AA445" i="12" s="1"/>
  <c r="T446" i="12"/>
  <c r="Z446" i="12" s="1"/>
  <c r="U457" i="12"/>
  <c r="AA457" i="12" s="1"/>
  <c r="S458" i="12"/>
  <c r="Y458" i="12" s="1"/>
  <c r="S459" i="12"/>
  <c r="Y459" i="12" s="1"/>
  <c r="S464" i="12"/>
  <c r="Y464" i="12" s="1"/>
  <c r="U467" i="12"/>
  <c r="AA467" i="12" s="1"/>
  <c r="S474" i="12"/>
  <c r="Y474" i="12" s="1"/>
  <c r="U472" i="12"/>
  <c r="AA472" i="12" s="1"/>
  <c r="T471" i="12"/>
  <c r="Z471" i="12" s="1"/>
  <c r="U469" i="12"/>
  <c r="AA469" i="12" s="1"/>
  <c r="T469" i="12"/>
  <c r="Z469" i="12" s="1"/>
  <c r="U473" i="12"/>
  <c r="AA473" i="12" s="1"/>
  <c r="T474" i="12"/>
  <c r="Z474" i="12" s="1"/>
  <c r="T495" i="12"/>
  <c r="Z495" i="12" s="1"/>
  <c r="S494" i="12"/>
  <c r="Y494" i="12" s="1"/>
  <c r="U492" i="12"/>
  <c r="AA492" i="12" s="1"/>
  <c r="S495" i="12"/>
  <c r="Y495" i="12" s="1"/>
  <c r="U493" i="12"/>
  <c r="AA493" i="12" s="1"/>
  <c r="T492" i="12"/>
  <c r="Z492" i="12" s="1"/>
  <c r="U490" i="12"/>
  <c r="AA490" i="12" s="1"/>
  <c r="T490" i="12"/>
  <c r="Z490" i="12" s="1"/>
  <c r="T494" i="12"/>
  <c r="Z494" i="12" s="1"/>
  <c r="U495" i="12"/>
  <c r="AA495" i="12" s="1"/>
  <c r="S500" i="12"/>
  <c r="Y500" i="12" s="1"/>
  <c r="U501" i="12"/>
  <c r="AA501" i="12" s="1"/>
  <c r="T507" i="12"/>
  <c r="Z507" i="12" s="1"/>
  <c r="AD511" i="12"/>
  <c r="N583" i="29" s="1"/>
  <c r="AD512" i="12"/>
  <c r="AA513" i="12"/>
  <c r="T537" i="12"/>
  <c r="Z537" i="12" s="1"/>
  <c r="S536" i="12"/>
  <c r="Y536" i="12" s="1"/>
  <c r="U534" i="12"/>
  <c r="AA534" i="12" s="1"/>
  <c r="S537" i="12"/>
  <c r="Y537" i="12" s="1"/>
  <c r="U535" i="12"/>
  <c r="AA535" i="12" s="1"/>
  <c r="T534" i="12"/>
  <c r="Z534" i="12" s="1"/>
  <c r="U532" i="12"/>
  <c r="AA532" i="12" s="1"/>
  <c r="U536" i="12"/>
  <c r="AA536" i="12" s="1"/>
  <c r="T535" i="12"/>
  <c r="Z535" i="12" s="1"/>
  <c r="S534" i="12"/>
  <c r="Y534" i="12" s="1"/>
  <c r="T532" i="12"/>
  <c r="Z532" i="12" s="1"/>
  <c r="AD533" i="12"/>
  <c r="N602" i="29" s="1"/>
  <c r="AD532" i="12"/>
  <c r="T551" i="12"/>
  <c r="Z551" i="12" s="1"/>
  <c r="S550" i="12"/>
  <c r="Y550" i="12" s="1"/>
  <c r="U548" i="12"/>
  <c r="AA548" i="12" s="1"/>
  <c r="S551" i="12"/>
  <c r="Y551" i="12" s="1"/>
  <c r="U549" i="12"/>
  <c r="AA549" i="12" s="1"/>
  <c r="T548" i="12"/>
  <c r="Z548" i="12" s="1"/>
  <c r="U546" i="12"/>
  <c r="AA546" i="12" s="1"/>
  <c r="U550" i="12"/>
  <c r="AA550" i="12" s="1"/>
  <c r="T549" i="12"/>
  <c r="Z549" i="12" s="1"/>
  <c r="S548" i="12"/>
  <c r="Y548" i="12" s="1"/>
  <c r="T546" i="12"/>
  <c r="Z546" i="12" s="1"/>
  <c r="AD547" i="12"/>
  <c r="N614" i="29" s="1"/>
  <c r="AD546" i="12"/>
  <c r="T572" i="12"/>
  <c r="Z572" i="12" s="1"/>
  <c r="S571" i="12"/>
  <c r="Y571" i="12" s="1"/>
  <c r="U569" i="12"/>
  <c r="AA569" i="12" s="1"/>
  <c r="S572" i="12"/>
  <c r="Y572" i="12" s="1"/>
  <c r="U570" i="12"/>
  <c r="AA570" i="12" s="1"/>
  <c r="T569" i="12"/>
  <c r="Z569" i="12" s="1"/>
  <c r="U567" i="12"/>
  <c r="AA567" i="12" s="1"/>
  <c r="U571" i="12"/>
  <c r="AA571" i="12" s="1"/>
  <c r="T570" i="12"/>
  <c r="Z570" i="12" s="1"/>
  <c r="S569" i="12"/>
  <c r="Y569" i="12" s="1"/>
  <c r="T567" i="12"/>
  <c r="Z567" i="12" s="1"/>
  <c r="AD568" i="12"/>
  <c r="AD567" i="12"/>
  <c r="T600" i="12"/>
  <c r="Z600" i="12" s="1"/>
  <c r="S599" i="12"/>
  <c r="Y599" i="12" s="1"/>
  <c r="U597" i="12"/>
  <c r="AA597" i="12" s="1"/>
  <c r="S600" i="12"/>
  <c r="Y600" i="12" s="1"/>
  <c r="U598" i="12"/>
  <c r="AA598" i="12" s="1"/>
  <c r="T597" i="12"/>
  <c r="Z597" i="12" s="1"/>
  <c r="U595" i="12"/>
  <c r="AA595" i="12" s="1"/>
  <c r="U599" i="12"/>
  <c r="AA599" i="12" s="1"/>
  <c r="T598" i="12"/>
  <c r="Z598" i="12" s="1"/>
  <c r="S597" i="12"/>
  <c r="Y597" i="12" s="1"/>
  <c r="T595" i="12"/>
  <c r="Z595" i="12" s="1"/>
  <c r="AD596" i="12"/>
  <c r="AD595" i="12"/>
  <c r="N661" i="29" s="1"/>
  <c r="S530" i="12"/>
  <c r="Y530" i="12" s="1"/>
  <c r="U528" i="12"/>
  <c r="AA528" i="12" s="1"/>
  <c r="T527" i="12"/>
  <c r="Z527" i="12" s="1"/>
  <c r="U525" i="12"/>
  <c r="AA525" i="12" s="1"/>
  <c r="U529" i="12"/>
  <c r="AA529" i="12" s="1"/>
  <c r="T528" i="12"/>
  <c r="Z528" i="12" s="1"/>
  <c r="S527" i="12"/>
  <c r="Y527" i="12" s="1"/>
  <c r="T525" i="12"/>
  <c r="Z525" i="12" s="1"/>
  <c r="AD526" i="12"/>
  <c r="N596" i="29" s="1"/>
  <c r="S529" i="12"/>
  <c r="Y529" i="12" s="1"/>
  <c r="U530" i="12"/>
  <c r="AA530" i="12" s="1"/>
  <c r="S535" i="12"/>
  <c r="Y535" i="12" s="1"/>
  <c r="S549" i="12"/>
  <c r="Y549" i="12" s="1"/>
  <c r="S570" i="12"/>
  <c r="Y570" i="12" s="1"/>
  <c r="T579" i="12"/>
  <c r="Z579" i="12" s="1"/>
  <c r="S578" i="12"/>
  <c r="Y578" i="12" s="1"/>
  <c r="U576" i="12"/>
  <c r="AA576" i="12" s="1"/>
  <c r="S579" i="12"/>
  <c r="Y579" i="12" s="1"/>
  <c r="U577" i="12"/>
  <c r="AA577" i="12" s="1"/>
  <c r="T576" i="12"/>
  <c r="Z576" i="12" s="1"/>
  <c r="U574" i="12"/>
  <c r="AA574" i="12" s="1"/>
  <c r="U578" i="12"/>
  <c r="AA578" i="12" s="1"/>
  <c r="T577" i="12"/>
  <c r="Z577" i="12" s="1"/>
  <c r="S576" i="12"/>
  <c r="Y576" i="12" s="1"/>
  <c r="T574" i="12"/>
  <c r="Z574" i="12" s="1"/>
  <c r="AD575" i="12"/>
  <c r="N644" i="29" s="1"/>
  <c r="AD574" i="12"/>
  <c r="S598" i="12"/>
  <c r="Y598" i="12" s="1"/>
  <c r="U607" i="12"/>
  <c r="AA607" i="12" s="1"/>
  <c r="T606" i="12"/>
  <c r="Z606" i="12" s="1"/>
  <c r="S607" i="12"/>
  <c r="Y607" i="12" s="1"/>
  <c r="U605" i="12"/>
  <c r="AA605" i="12" s="1"/>
  <c r="U606" i="12"/>
  <c r="AA606" i="12" s="1"/>
  <c r="S605" i="12"/>
  <c r="Y605" i="12" s="1"/>
  <c r="U604" i="12"/>
  <c r="AA604" i="12" s="1"/>
  <c r="T607" i="12"/>
  <c r="Z607" i="12" s="1"/>
  <c r="S606" i="12"/>
  <c r="Y606" i="12" s="1"/>
  <c r="T604" i="12"/>
  <c r="Z604" i="12" s="1"/>
  <c r="U602" i="12"/>
  <c r="AA602" i="12" s="1"/>
  <c r="S604" i="12"/>
  <c r="Y604" i="12" s="1"/>
  <c r="T602" i="12"/>
  <c r="Z602" i="12" s="1"/>
  <c r="AD603" i="12"/>
  <c r="N668" i="29" s="1"/>
  <c r="AD602" i="12"/>
  <c r="N667" i="29" s="1"/>
  <c r="T605" i="12"/>
  <c r="Z605" i="12" s="1"/>
  <c r="S523" i="12"/>
  <c r="Y523" i="12" s="1"/>
  <c r="U521" i="12"/>
  <c r="AA521" i="12" s="1"/>
  <c r="T520" i="12"/>
  <c r="Z520" i="12" s="1"/>
  <c r="U518" i="12"/>
  <c r="AA518" i="12" s="1"/>
  <c r="U522" i="12"/>
  <c r="AA522" i="12" s="1"/>
  <c r="T521" i="12"/>
  <c r="Z521" i="12" s="1"/>
  <c r="S520" i="12"/>
  <c r="Y520" i="12" s="1"/>
  <c r="T518" i="12"/>
  <c r="Z518" i="12" s="1"/>
  <c r="AD519" i="12"/>
  <c r="N590" i="29" s="1"/>
  <c r="S522" i="12"/>
  <c r="Y522" i="12" s="1"/>
  <c r="U523" i="12"/>
  <c r="AA523" i="12" s="1"/>
  <c r="T529" i="12"/>
  <c r="Z529" i="12" s="1"/>
  <c r="S532" i="12"/>
  <c r="Y532" i="12" s="1"/>
  <c r="T536" i="12"/>
  <c r="Z536" i="12" s="1"/>
  <c r="T544" i="12"/>
  <c r="Z544" i="12" s="1"/>
  <c r="S543" i="12"/>
  <c r="Y543" i="12" s="1"/>
  <c r="U541" i="12"/>
  <c r="AA541" i="12" s="1"/>
  <c r="S544" i="12"/>
  <c r="Y544" i="12" s="1"/>
  <c r="U542" i="12"/>
  <c r="AA542" i="12" s="1"/>
  <c r="T541" i="12"/>
  <c r="Z541" i="12" s="1"/>
  <c r="U539" i="12"/>
  <c r="AA539" i="12" s="1"/>
  <c r="U543" i="12"/>
  <c r="AA543" i="12" s="1"/>
  <c r="T542" i="12"/>
  <c r="Z542" i="12" s="1"/>
  <c r="S541" i="12"/>
  <c r="Y541" i="12" s="1"/>
  <c r="T539" i="12"/>
  <c r="Z539" i="12" s="1"/>
  <c r="AE540" i="12" s="1"/>
  <c r="AD540" i="12"/>
  <c r="AD539" i="12"/>
  <c r="N607" i="29" s="1"/>
  <c r="S546" i="12"/>
  <c r="Y546" i="12" s="1"/>
  <c r="T550" i="12"/>
  <c r="Z550" i="12" s="1"/>
  <c r="T558" i="12"/>
  <c r="Z558" i="12" s="1"/>
  <c r="S557" i="12"/>
  <c r="Y557" i="12" s="1"/>
  <c r="U555" i="12"/>
  <c r="AA555" i="12" s="1"/>
  <c r="S558" i="12"/>
  <c r="Y558" i="12" s="1"/>
  <c r="U556" i="12"/>
  <c r="AA556" i="12" s="1"/>
  <c r="T555" i="12"/>
  <c r="Z555" i="12" s="1"/>
  <c r="U553" i="12"/>
  <c r="AA553" i="12" s="1"/>
  <c r="U557" i="12"/>
  <c r="AA557" i="12" s="1"/>
  <c r="T556" i="12"/>
  <c r="Z556" i="12" s="1"/>
  <c r="S555" i="12"/>
  <c r="Y555" i="12" s="1"/>
  <c r="T553" i="12"/>
  <c r="Z553" i="12" s="1"/>
  <c r="AD554" i="12"/>
  <c r="N620" i="29" s="1"/>
  <c r="AD553" i="12"/>
  <c r="N619" i="29" s="1"/>
  <c r="S567" i="12"/>
  <c r="Y567" i="12" s="1"/>
  <c r="T571" i="12"/>
  <c r="Z571" i="12" s="1"/>
  <c r="S577" i="12"/>
  <c r="Y577" i="12" s="1"/>
  <c r="T586" i="12"/>
  <c r="Z586" i="12" s="1"/>
  <c r="S585" i="12"/>
  <c r="Y585" i="12" s="1"/>
  <c r="U583" i="12"/>
  <c r="AA583" i="12" s="1"/>
  <c r="S586" i="12"/>
  <c r="Y586" i="12" s="1"/>
  <c r="U584" i="12"/>
  <c r="AA584" i="12" s="1"/>
  <c r="T583" i="12"/>
  <c r="Z583" i="12" s="1"/>
  <c r="U581" i="12"/>
  <c r="AA581" i="12" s="1"/>
  <c r="U585" i="12"/>
  <c r="AA585" i="12" s="1"/>
  <c r="T584" i="12"/>
  <c r="Z584" i="12" s="1"/>
  <c r="S583" i="12"/>
  <c r="Y583" i="12" s="1"/>
  <c r="T581" i="12"/>
  <c r="Z581" i="12" s="1"/>
  <c r="AD582" i="12"/>
  <c r="N650" i="29" s="1"/>
  <c r="AD581" i="12"/>
  <c r="N649" i="29" s="1"/>
  <c r="S595" i="12"/>
  <c r="Y595" i="12" s="1"/>
  <c r="T599" i="12"/>
  <c r="Z599" i="12" s="1"/>
  <c r="U614" i="12"/>
  <c r="AA614" i="12" s="1"/>
  <c r="T613" i="12"/>
  <c r="Z613" i="12" s="1"/>
  <c r="S612" i="12"/>
  <c r="Y612" i="12" s="1"/>
  <c r="S609" i="12"/>
  <c r="Y609" i="12" s="1"/>
  <c r="S614" i="12"/>
  <c r="Y614" i="12" s="1"/>
  <c r="U612" i="12"/>
  <c r="AA612" i="12" s="1"/>
  <c r="T611" i="12"/>
  <c r="Z611" i="12" s="1"/>
  <c r="U609" i="12"/>
  <c r="AA609" i="12" s="1"/>
  <c r="U611" i="12"/>
  <c r="AA611" i="12" s="1"/>
  <c r="T609" i="12"/>
  <c r="Z609" i="12" s="1"/>
  <c r="T612" i="12"/>
  <c r="Z612" i="12" s="1"/>
  <c r="S611" i="12"/>
  <c r="Y611" i="12" s="1"/>
  <c r="U613" i="12"/>
  <c r="AA613" i="12" s="1"/>
  <c r="S613" i="12"/>
  <c r="Y613" i="12" s="1"/>
  <c r="T614" i="12"/>
  <c r="Z614" i="12" s="1"/>
  <c r="S516" i="12"/>
  <c r="Y516" i="12" s="1"/>
  <c r="U514" i="12"/>
  <c r="AA514" i="12" s="1"/>
  <c r="U515" i="12"/>
  <c r="AA515" i="12" s="1"/>
  <c r="T514" i="12"/>
  <c r="Z514" i="12" s="1"/>
  <c r="S513" i="12"/>
  <c r="Y513" i="12" s="1"/>
  <c r="T511" i="12"/>
  <c r="Z511" i="12" s="1"/>
  <c r="S515" i="12"/>
  <c r="Y515" i="12" s="1"/>
  <c r="U516" i="12"/>
  <c r="AA516" i="12" s="1"/>
  <c r="T522" i="12"/>
  <c r="Z522" i="12" s="1"/>
  <c r="S525" i="12"/>
  <c r="Y525" i="12" s="1"/>
  <c r="U527" i="12"/>
  <c r="AA527" i="12" s="1"/>
  <c r="S528" i="12"/>
  <c r="Y528" i="12" s="1"/>
  <c r="U537" i="12"/>
  <c r="AA537" i="12" s="1"/>
  <c r="S542" i="12"/>
  <c r="Y542" i="12" s="1"/>
  <c r="U551" i="12"/>
  <c r="AA551" i="12" s="1"/>
  <c r="S556" i="12"/>
  <c r="Y556" i="12" s="1"/>
  <c r="T565" i="12"/>
  <c r="Z565" i="12" s="1"/>
  <c r="S564" i="12"/>
  <c r="Y564" i="12" s="1"/>
  <c r="U562" i="12"/>
  <c r="AA562" i="12" s="1"/>
  <c r="S565" i="12"/>
  <c r="Y565" i="12" s="1"/>
  <c r="U563" i="12"/>
  <c r="AA563" i="12" s="1"/>
  <c r="T562" i="12"/>
  <c r="Z562" i="12" s="1"/>
  <c r="U560" i="12"/>
  <c r="AA560" i="12" s="1"/>
  <c r="U564" i="12"/>
  <c r="AA564" i="12" s="1"/>
  <c r="T563" i="12"/>
  <c r="Z563" i="12" s="1"/>
  <c r="S562" i="12"/>
  <c r="Y562" i="12" s="1"/>
  <c r="T560" i="12"/>
  <c r="Z560" i="12" s="1"/>
  <c r="AE560" i="12" s="1"/>
  <c r="AD561" i="12"/>
  <c r="N632" i="29" s="1"/>
  <c r="AD560" i="12"/>
  <c r="U572" i="12"/>
  <c r="AA572" i="12" s="1"/>
  <c r="S574" i="12"/>
  <c r="Y574" i="12" s="1"/>
  <c r="T578" i="12"/>
  <c r="Z578" i="12" s="1"/>
  <c r="S584" i="12"/>
  <c r="Y584" i="12" s="1"/>
  <c r="T593" i="12"/>
  <c r="Z593" i="12" s="1"/>
  <c r="S592" i="12"/>
  <c r="Y592" i="12" s="1"/>
  <c r="U590" i="12"/>
  <c r="AA590" i="12" s="1"/>
  <c r="S593" i="12"/>
  <c r="Y593" i="12" s="1"/>
  <c r="U591" i="12"/>
  <c r="AA591" i="12" s="1"/>
  <c r="T590" i="12"/>
  <c r="Z590" i="12" s="1"/>
  <c r="U588" i="12"/>
  <c r="AA588" i="12" s="1"/>
  <c r="U592" i="12"/>
  <c r="AA592" i="12" s="1"/>
  <c r="T591" i="12"/>
  <c r="Z591" i="12" s="1"/>
  <c r="S590" i="12"/>
  <c r="Y590" i="12" s="1"/>
  <c r="T588" i="12"/>
  <c r="Z588" i="12" s="1"/>
  <c r="AD589" i="12"/>
  <c r="N656" i="29" s="1"/>
  <c r="AD588" i="12"/>
  <c r="U600" i="12"/>
  <c r="AA600" i="12" s="1"/>
  <c r="S602" i="12"/>
  <c r="Y602" i="12" s="1"/>
  <c r="T616" i="12"/>
  <c r="Z616" i="12" s="1"/>
  <c r="U635" i="12"/>
  <c r="AA635" i="12" s="1"/>
  <c r="T634" i="12"/>
  <c r="Z634" i="12" s="1"/>
  <c r="S633" i="12"/>
  <c r="Y633" i="12" s="1"/>
  <c r="S630" i="12"/>
  <c r="Y630" i="12" s="1"/>
  <c r="T635" i="12"/>
  <c r="Z635" i="12" s="1"/>
  <c r="S634" i="12"/>
  <c r="Y634" i="12" s="1"/>
  <c r="U632" i="12"/>
  <c r="AA632" i="12" s="1"/>
  <c r="S635" i="12"/>
  <c r="Y635" i="12" s="1"/>
  <c r="U633" i="12"/>
  <c r="AA633" i="12" s="1"/>
  <c r="T632" i="12"/>
  <c r="Z632" i="12" s="1"/>
  <c r="U630" i="12"/>
  <c r="AA630" i="12" s="1"/>
  <c r="T649" i="12"/>
  <c r="Z649" i="12" s="1"/>
  <c r="S648" i="12"/>
  <c r="Y648" i="12" s="1"/>
  <c r="S649" i="12"/>
  <c r="Y649" i="12" s="1"/>
  <c r="U647" i="12"/>
  <c r="AA647" i="12" s="1"/>
  <c r="T646" i="12"/>
  <c r="Z646" i="12" s="1"/>
  <c r="U648" i="12"/>
  <c r="AA648" i="12" s="1"/>
  <c r="T647" i="12"/>
  <c r="Z647" i="12" s="1"/>
  <c r="S646" i="12"/>
  <c r="Y646" i="12" s="1"/>
  <c r="S644" i="12"/>
  <c r="Y644" i="12" s="1"/>
  <c r="U649" i="12"/>
  <c r="AA649" i="12" s="1"/>
  <c r="S647" i="12"/>
  <c r="Y647" i="12" s="1"/>
  <c r="T648" i="12"/>
  <c r="Z648" i="12" s="1"/>
  <c r="U644" i="12"/>
  <c r="AA644" i="12" s="1"/>
  <c r="AD673" i="12"/>
  <c r="N728" i="29" s="1"/>
  <c r="AD672" i="12"/>
  <c r="N727" i="29" s="1"/>
  <c r="U621" i="12"/>
  <c r="AA621" i="12" s="1"/>
  <c r="T620" i="12"/>
  <c r="Z620" i="12" s="1"/>
  <c r="S619" i="12"/>
  <c r="Y619" i="12" s="1"/>
  <c r="S616" i="12"/>
  <c r="Y616" i="12" s="1"/>
  <c r="T621" i="12"/>
  <c r="Z621" i="12" s="1"/>
  <c r="S621" i="12"/>
  <c r="Y621" i="12" s="1"/>
  <c r="U619" i="12"/>
  <c r="AA619" i="12" s="1"/>
  <c r="T618" i="12"/>
  <c r="Z618" i="12" s="1"/>
  <c r="AE618" i="12" s="1"/>
  <c r="U616" i="12"/>
  <c r="AA616" i="12" s="1"/>
  <c r="S620" i="12"/>
  <c r="Y620" i="12" s="1"/>
  <c r="U698" i="12"/>
  <c r="AA698" i="12" s="1"/>
  <c r="T697" i="12"/>
  <c r="Z697" i="12" s="1"/>
  <c r="T698" i="12"/>
  <c r="Z698" i="12" s="1"/>
  <c r="S697" i="12"/>
  <c r="Y697" i="12" s="1"/>
  <c r="U695" i="12"/>
  <c r="AA695" i="12" s="1"/>
  <c r="S698" i="12"/>
  <c r="Y698" i="12" s="1"/>
  <c r="U696" i="12"/>
  <c r="AA696" i="12" s="1"/>
  <c r="U697" i="12"/>
  <c r="AA697" i="12" s="1"/>
  <c r="T695" i="12"/>
  <c r="Z695" i="12" s="1"/>
  <c r="S693" i="12"/>
  <c r="Y693" i="12" s="1"/>
  <c r="T696" i="12"/>
  <c r="Z696" i="12" s="1"/>
  <c r="S695" i="12"/>
  <c r="Y695" i="12" s="1"/>
  <c r="S696" i="12"/>
  <c r="Y696" i="12" s="1"/>
  <c r="U693" i="12"/>
  <c r="AA693" i="12" s="1"/>
  <c r="T693" i="12"/>
  <c r="Z693" i="12" s="1"/>
  <c r="U620" i="12"/>
  <c r="AA620" i="12" s="1"/>
  <c r="U628" i="12"/>
  <c r="AA628" i="12" s="1"/>
  <c r="T627" i="12"/>
  <c r="Z627" i="12" s="1"/>
  <c r="S626" i="12"/>
  <c r="Y626" i="12" s="1"/>
  <c r="S623" i="12"/>
  <c r="Y623" i="12" s="1"/>
  <c r="T628" i="12"/>
  <c r="Z628" i="12" s="1"/>
  <c r="S627" i="12"/>
  <c r="Y627" i="12" s="1"/>
  <c r="U625" i="12"/>
  <c r="AA625" i="12" s="1"/>
  <c r="S628" i="12"/>
  <c r="Y628" i="12" s="1"/>
  <c r="U626" i="12"/>
  <c r="AA626" i="12" s="1"/>
  <c r="T625" i="12"/>
  <c r="Z625" i="12" s="1"/>
  <c r="U623" i="12"/>
  <c r="AA623" i="12" s="1"/>
  <c r="U642" i="12"/>
  <c r="AA642" i="12" s="1"/>
  <c r="T641" i="12"/>
  <c r="Z641" i="12" s="1"/>
  <c r="S640" i="12"/>
  <c r="Y640" i="12" s="1"/>
  <c r="S637" i="12"/>
  <c r="Y637" i="12" s="1"/>
  <c r="T642" i="12"/>
  <c r="Z642" i="12" s="1"/>
  <c r="S641" i="12"/>
  <c r="Y641" i="12" s="1"/>
  <c r="AE641" i="12" s="1"/>
  <c r="U639" i="12"/>
  <c r="AA639" i="12" s="1"/>
  <c r="S642" i="12"/>
  <c r="Y642" i="12" s="1"/>
  <c r="U640" i="12"/>
  <c r="AA640" i="12" s="1"/>
  <c r="T639" i="12"/>
  <c r="Z639" i="12" s="1"/>
  <c r="U637" i="12"/>
  <c r="AA637" i="12" s="1"/>
  <c r="AD652" i="12"/>
  <c r="N710" i="29" s="1"/>
  <c r="AD651" i="12"/>
  <c r="N709" i="29" s="1"/>
  <c r="AD680" i="12"/>
  <c r="AD679" i="12"/>
  <c r="N733" i="29" s="1"/>
  <c r="AD659" i="12"/>
  <c r="N716" i="29" s="1"/>
  <c r="AD658" i="12"/>
  <c r="N715" i="29" s="1"/>
  <c r="AD687" i="12"/>
  <c r="N740" i="29" s="1"/>
  <c r="AD686" i="12"/>
  <c r="N739" i="29" s="1"/>
  <c r="U719" i="12"/>
  <c r="AA719" i="12" s="1"/>
  <c r="T718" i="12"/>
  <c r="Z718" i="12" s="1"/>
  <c r="S717" i="12"/>
  <c r="Y717" i="12" s="1"/>
  <c r="S714" i="12"/>
  <c r="Y714" i="12" s="1"/>
  <c r="T719" i="12"/>
  <c r="Z719" i="12" s="1"/>
  <c r="S718" i="12"/>
  <c r="Y718" i="12" s="1"/>
  <c r="U716" i="12"/>
  <c r="AA716" i="12" s="1"/>
  <c r="S719" i="12"/>
  <c r="Y719" i="12" s="1"/>
  <c r="U717" i="12"/>
  <c r="AA717" i="12" s="1"/>
  <c r="T716" i="12"/>
  <c r="Z716" i="12" s="1"/>
  <c r="U714" i="12"/>
  <c r="AA714" i="12" s="1"/>
  <c r="T714" i="12"/>
  <c r="Z714" i="12" s="1"/>
  <c r="U718" i="12"/>
  <c r="AA718" i="12" s="1"/>
  <c r="T717" i="12"/>
  <c r="Z717" i="12" s="1"/>
  <c r="AD666" i="12"/>
  <c r="AD665" i="12"/>
  <c r="N721" i="29" s="1"/>
  <c r="T651" i="12"/>
  <c r="Z651" i="12" s="1"/>
  <c r="S653" i="12"/>
  <c r="Y653" i="12" s="1"/>
  <c r="T654" i="12"/>
  <c r="Z654" i="12" s="1"/>
  <c r="U655" i="12"/>
  <c r="AA655" i="12" s="1"/>
  <c r="T658" i="12"/>
  <c r="Z658" i="12" s="1"/>
  <c r="S660" i="12"/>
  <c r="Y660" i="12" s="1"/>
  <c r="T661" i="12"/>
  <c r="Z661" i="12" s="1"/>
  <c r="U662" i="12"/>
  <c r="AA662" i="12" s="1"/>
  <c r="T665" i="12"/>
  <c r="Z665" i="12" s="1"/>
  <c r="S667" i="12"/>
  <c r="Y667" i="12" s="1"/>
  <c r="T668" i="12"/>
  <c r="Z668" i="12" s="1"/>
  <c r="U669" i="12"/>
  <c r="AA669" i="12" s="1"/>
  <c r="T672" i="12"/>
  <c r="Z672" i="12" s="1"/>
  <c r="S674" i="12"/>
  <c r="Y674" i="12" s="1"/>
  <c r="T675" i="12"/>
  <c r="Z675" i="12" s="1"/>
  <c r="U676" i="12"/>
  <c r="AA676" i="12" s="1"/>
  <c r="T679" i="12"/>
  <c r="Z679" i="12" s="1"/>
  <c r="S681" i="12"/>
  <c r="Y681" i="12" s="1"/>
  <c r="T682" i="12"/>
  <c r="Z682" i="12" s="1"/>
  <c r="U683" i="12"/>
  <c r="AA683" i="12" s="1"/>
  <c r="T691" i="12"/>
  <c r="Z691" i="12" s="1"/>
  <c r="S690" i="12"/>
  <c r="Y690" i="12" s="1"/>
  <c r="U688" i="12"/>
  <c r="AA688" i="12" s="1"/>
  <c r="T686" i="12"/>
  <c r="Z686" i="12" s="1"/>
  <c r="T688" i="12"/>
  <c r="Z688" i="12" s="1"/>
  <c r="T689" i="12"/>
  <c r="Z689" i="12" s="1"/>
  <c r="U725" i="12"/>
  <c r="AA725" i="12" s="1"/>
  <c r="T724" i="12"/>
  <c r="Z724" i="12" s="1"/>
  <c r="S723" i="12"/>
  <c r="Y723" i="12" s="1"/>
  <c r="S720" i="12"/>
  <c r="Y720" i="12" s="1"/>
  <c r="T725" i="12"/>
  <c r="Z725" i="12" s="1"/>
  <c r="S724" i="12"/>
  <c r="Y724" i="12" s="1"/>
  <c r="U722" i="12"/>
  <c r="AA722" i="12" s="1"/>
  <c r="S725" i="12"/>
  <c r="Y725" i="12" s="1"/>
  <c r="U723" i="12"/>
  <c r="AA723" i="12" s="1"/>
  <c r="T722" i="12"/>
  <c r="Z722" i="12" s="1"/>
  <c r="U720" i="12"/>
  <c r="AA720" i="12" s="1"/>
  <c r="S722" i="12"/>
  <c r="Y722" i="12" s="1"/>
  <c r="U738" i="12"/>
  <c r="AA738" i="12" s="1"/>
  <c r="T737" i="12"/>
  <c r="Z737" i="12" s="1"/>
  <c r="S736" i="12"/>
  <c r="Y736" i="12" s="1"/>
  <c r="S733" i="12"/>
  <c r="Y733" i="12" s="1"/>
  <c r="T738" i="12"/>
  <c r="Z738" i="12" s="1"/>
  <c r="S737" i="12"/>
  <c r="Y737" i="12" s="1"/>
  <c r="U735" i="12"/>
  <c r="AA735" i="12" s="1"/>
  <c r="S738" i="12"/>
  <c r="Y738" i="12" s="1"/>
  <c r="U736" i="12"/>
  <c r="AA736" i="12" s="1"/>
  <c r="T735" i="12"/>
  <c r="Z735" i="12" s="1"/>
  <c r="U733" i="12"/>
  <c r="AA733" i="12" s="1"/>
  <c r="S735" i="12"/>
  <c r="Y735" i="12" s="1"/>
  <c r="U744" i="12"/>
  <c r="AA744" i="12" s="1"/>
  <c r="T743" i="12"/>
  <c r="Z743" i="12" s="1"/>
  <c r="S742" i="12"/>
  <c r="Y742" i="12" s="1"/>
  <c r="S739" i="12"/>
  <c r="Y739" i="12" s="1"/>
  <c r="T744" i="12"/>
  <c r="Z744" i="12" s="1"/>
  <c r="S743" i="12"/>
  <c r="Y743" i="12" s="1"/>
  <c r="U741" i="12"/>
  <c r="AA741" i="12" s="1"/>
  <c r="S744" i="12"/>
  <c r="Y744" i="12" s="1"/>
  <c r="U742" i="12"/>
  <c r="AA742" i="12" s="1"/>
  <c r="T741" i="12"/>
  <c r="Z741" i="12" s="1"/>
  <c r="U739" i="12"/>
  <c r="AA739" i="12" s="1"/>
  <c r="S741" i="12"/>
  <c r="Y741" i="12" s="1"/>
  <c r="U651" i="12"/>
  <c r="AA651" i="12" s="1"/>
  <c r="T653" i="12"/>
  <c r="Z653" i="12" s="1"/>
  <c r="U654" i="12"/>
  <c r="AA654" i="12" s="1"/>
  <c r="S656" i="12"/>
  <c r="Y656" i="12" s="1"/>
  <c r="U658" i="12"/>
  <c r="AA658" i="12" s="1"/>
  <c r="T660" i="12"/>
  <c r="Z660" i="12" s="1"/>
  <c r="U661" i="12"/>
  <c r="AA661" i="12" s="1"/>
  <c r="S663" i="12"/>
  <c r="Y663" i="12" s="1"/>
  <c r="U665" i="12"/>
  <c r="AA665" i="12" s="1"/>
  <c r="T667" i="12"/>
  <c r="Z667" i="12" s="1"/>
  <c r="U668" i="12"/>
  <c r="AA668" i="12" s="1"/>
  <c r="S670" i="12"/>
  <c r="Y670" i="12" s="1"/>
  <c r="U672" i="12"/>
  <c r="AA672" i="12" s="1"/>
  <c r="T674" i="12"/>
  <c r="Z674" i="12" s="1"/>
  <c r="U675" i="12"/>
  <c r="AA675" i="12" s="1"/>
  <c r="S677" i="12"/>
  <c r="Y677" i="12" s="1"/>
  <c r="U679" i="12"/>
  <c r="AA679" i="12" s="1"/>
  <c r="T681" i="12"/>
  <c r="Z681" i="12" s="1"/>
  <c r="U682" i="12"/>
  <c r="AA682" i="12" s="1"/>
  <c r="S684" i="12"/>
  <c r="Y684" i="12" s="1"/>
  <c r="U686" i="12"/>
  <c r="AA686" i="12" s="1"/>
  <c r="U689" i="12"/>
  <c r="AA689" i="12" s="1"/>
  <c r="T690" i="12"/>
  <c r="Z690" i="12" s="1"/>
  <c r="U705" i="12"/>
  <c r="AA705" i="12" s="1"/>
  <c r="T704" i="12"/>
  <c r="Z704" i="12" s="1"/>
  <c r="S703" i="12"/>
  <c r="Y703" i="12" s="1"/>
  <c r="S700" i="12"/>
  <c r="Y700" i="12" s="1"/>
  <c r="T705" i="12"/>
  <c r="Z705" i="12" s="1"/>
  <c r="S704" i="12"/>
  <c r="Y704" i="12" s="1"/>
  <c r="U702" i="12"/>
  <c r="AA702" i="12" s="1"/>
  <c r="S705" i="12"/>
  <c r="Y705" i="12" s="1"/>
  <c r="U703" i="12"/>
  <c r="AA703" i="12" s="1"/>
  <c r="T702" i="12"/>
  <c r="Z702" i="12" s="1"/>
  <c r="U700" i="12"/>
  <c r="AA700" i="12" s="1"/>
  <c r="S702" i="12"/>
  <c r="Y702" i="12" s="1"/>
  <c r="T723" i="12"/>
  <c r="Z723" i="12" s="1"/>
  <c r="T736" i="12"/>
  <c r="Z736" i="12" s="1"/>
  <c r="T742" i="12"/>
  <c r="Z742" i="12" s="1"/>
  <c r="U653" i="12"/>
  <c r="AA653" i="12" s="1"/>
  <c r="S655" i="12"/>
  <c r="Y655" i="12" s="1"/>
  <c r="U660" i="12"/>
  <c r="AA660" i="12" s="1"/>
  <c r="S662" i="12"/>
  <c r="Y662" i="12" s="1"/>
  <c r="AE662" i="12" s="1"/>
  <c r="U667" i="12"/>
  <c r="AA667" i="12" s="1"/>
  <c r="S669" i="12"/>
  <c r="Y669" i="12" s="1"/>
  <c r="U674" i="12"/>
  <c r="AA674" i="12" s="1"/>
  <c r="S676" i="12"/>
  <c r="Y676" i="12" s="1"/>
  <c r="AE676" i="12" s="1"/>
  <c r="U681" i="12"/>
  <c r="AA681" i="12" s="1"/>
  <c r="S683" i="12"/>
  <c r="Y683" i="12" s="1"/>
  <c r="U690" i="12"/>
  <c r="AA690" i="12" s="1"/>
  <c r="S691" i="12"/>
  <c r="Y691" i="12" s="1"/>
  <c r="AD693" i="12"/>
  <c r="N745" i="29" s="1"/>
  <c r="T703" i="12"/>
  <c r="Z703" i="12" s="1"/>
  <c r="U712" i="12"/>
  <c r="AA712" i="12" s="1"/>
  <c r="T711" i="12"/>
  <c r="Z711" i="12" s="1"/>
  <c r="S710" i="12"/>
  <c r="Y710" i="12" s="1"/>
  <c r="S707" i="12"/>
  <c r="Y707" i="12" s="1"/>
  <c r="T712" i="12"/>
  <c r="Z712" i="12" s="1"/>
  <c r="S711" i="12"/>
  <c r="Y711" i="12" s="1"/>
  <c r="AE711" i="12" s="1"/>
  <c r="U709" i="12"/>
  <c r="AA709" i="12" s="1"/>
  <c r="S712" i="12"/>
  <c r="Y712" i="12" s="1"/>
  <c r="U710" i="12"/>
  <c r="AA710" i="12" s="1"/>
  <c r="T709" i="12"/>
  <c r="Z709" i="12" s="1"/>
  <c r="U707" i="12"/>
  <c r="AA707" i="12" s="1"/>
  <c r="S709" i="12"/>
  <c r="Y709" i="12" s="1"/>
  <c r="U724" i="12"/>
  <c r="AA724" i="12" s="1"/>
  <c r="U737" i="12"/>
  <c r="AA737" i="12" s="1"/>
  <c r="U743" i="12"/>
  <c r="AA743" i="12" s="1"/>
  <c r="AE588" i="12" l="1"/>
  <c r="N393" i="29"/>
  <c r="J393" i="29"/>
  <c r="N394" i="29"/>
  <c r="J394" i="29"/>
  <c r="O435" i="29"/>
  <c r="I435" i="29"/>
  <c r="K435" i="29"/>
  <c r="N386" i="29"/>
  <c r="J386" i="29"/>
  <c r="N374" i="29"/>
  <c r="J374" i="29"/>
  <c r="N391" i="29"/>
  <c r="J391" i="29"/>
  <c r="N396" i="29"/>
  <c r="J396" i="29"/>
  <c r="I397" i="29"/>
  <c r="K397" i="29"/>
  <c r="N470" i="29"/>
  <c r="N368" i="29"/>
  <c r="J368" i="29"/>
  <c r="AD170" i="12"/>
  <c r="N787" i="29" s="1"/>
  <c r="N380" i="29"/>
  <c r="J380" i="29"/>
  <c r="AE518" i="12"/>
  <c r="O589" i="29" s="1"/>
  <c r="AE598" i="12"/>
  <c r="N395" i="29"/>
  <c r="J395" i="29"/>
  <c r="K400" i="29"/>
  <c r="I400" i="29"/>
  <c r="N813" i="29"/>
  <c r="N814" i="29"/>
  <c r="N861" i="29" s="1"/>
  <c r="N816" i="29"/>
  <c r="N815" i="29"/>
  <c r="O397" i="29"/>
  <c r="M397" i="29"/>
  <c r="O63" i="10"/>
  <c r="N397" i="29"/>
  <c r="J397" i="29"/>
  <c r="H397" i="29"/>
  <c r="L397" i="29"/>
  <c r="N63" i="10"/>
  <c r="N631" i="29"/>
  <c r="N662" i="29"/>
  <c r="N638" i="29"/>
  <c r="N613" i="29"/>
  <c r="N572" i="29"/>
  <c r="AH600" i="8"/>
  <c r="N643" i="29"/>
  <c r="N637" i="29"/>
  <c r="N584" i="29"/>
  <c r="N571" i="29"/>
  <c r="AH451" i="8"/>
  <c r="N608" i="29"/>
  <c r="N722" i="29"/>
  <c r="N734" i="29"/>
  <c r="N655" i="29"/>
  <c r="N601" i="29"/>
  <c r="AH563" i="8"/>
  <c r="N691" i="29"/>
  <c r="N554" i="29"/>
  <c r="N542" i="29"/>
  <c r="N560" i="29"/>
  <c r="N505" i="29"/>
  <c r="N686" i="29"/>
  <c r="N577" i="29"/>
  <c r="N566" i="29"/>
  <c r="N698" i="29"/>
  <c r="AI108" i="8"/>
  <c r="N404" i="29"/>
  <c r="N524" i="29"/>
  <c r="N703" i="29"/>
  <c r="N481" i="29"/>
  <c r="N578" i="29"/>
  <c r="N673" i="29"/>
  <c r="N746" i="29"/>
  <c r="N475" i="29"/>
  <c r="N422" i="29"/>
  <c r="H771" i="29"/>
  <c r="AE386" i="12"/>
  <c r="AE704" i="12"/>
  <c r="AE581" i="12"/>
  <c r="AE493" i="12"/>
  <c r="AE382" i="12"/>
  <c r="AE115" i="12"/>
  <c r="L771" i="29"/>
  <c r="J771" i="29"/>
  <c r="J813" i="29" s="1"/>
  <c r="AD124" i="12"/>
  <c r="N769" i="29" s="1"/>
  <c r="AF103" i="12"/>
  <c r="N445" i="29"/>
  <c r="AF110" i="12"/>
  <c r="N451" i="29"/>
  <c r="AF96" i="12"/>
  <c r="N439" i="29"/>
  <c r="AH327" i="8"/>
  <c r="AI622" i="8"/>
  <c r="AI49" i="8"/>
  <c r="L368" i="29"/>
  <c r="H368" i="29"/>
  <c r="L395" i="29"/>
  <c r="H395" i="29"/>
  <c r="AI70" i="8"/>
  <c r="L386" i="29"/>
  <c r="H386" i="29"/>
  <c r="AI56" i="8"/>
  <c r="H374" i="29"/>
  <c r="L374" i="29"/>
  <c r="L391" i="29"/>
  <c r="H391" i="29"/>
  <c r="L393" i="29"/>
  <c r="H393" i="29"/>
  <c r="H813" i="29" s="1"/>
  <c r="AI63" i="8"/>
  <c r="H380" i="29"/>
  <c r="L380" i="29"/>
  <c r="L394" i="29"/>
  <c r="H394" i="29"/>
  <c r="J404" i="29"/>
  <c r="J422" i="29"/>
  <c r="AI130" i="8"/>
  <c r="L457" i="29"/>
  <c r="L396" i="29"/>
  <c r="H396" i="29"/>
  <c r="L404" i="29"/>
  <c r="L422" i="29"/>
  <c r="H404" i="29"/>
  <c r="H422" i="29"/>
  <c r="L770" i="29"/>
  <c r="AE627" i="12"/>
  <c r="AE634" i="12"/>
  <c r="AE392" i="12"/>
  <c r="AE417" i="12"/>
  <c r="O503" i="29" s="1"/>
  <c r="AE413" i="12"/>
  <c r="O499" i="29" s="1"/>
  <c r="AE554" i="12"/>
  <c r="AE389" i="12"/>
  <c r="AE395" i="12"/>
  <c r="AE416" i="12"/>
  <c r="O502" i="29" s="1"/>
  <c r="AE401" i="12"/>
  <c r="O489" i="29" s="1"/>
  <c r="M435" i="29"/>
  <c r="M412" i="29"/>
  <c r="AF698" i="12"/>
  <c r="AF523" i="12"/>
  <c r="AF530" i="12"/>
  <c r="AF404" i="12"/>
  <c r="AF467" i="12"/>
  <c r="AF397" i="12"/>
  <c r="AF628" i="12"/>
  <c r="J439" i="29"/>
  <c r="L439" i="29"/>
  <c r="H439" i="29"/>
  <c r="AF705" i="12"/>
  <c r="AF474" i="12"/>
  <c r="AF439" i="12"/>
  <c r="AF460" i="12"/>
  <c r="AF432" i="12"/>
  <c r="AF488" i="12"/>
  <c r="AF425" i="12"/>
  <c r="J421" i="29"/>
  <c r="L421" i="29"/>
  <c r="H421" i="29"/>
  <c r="AF750" i="12"/>
  <c r="AF544" i="12"/>
  <c r="AF607" i="12"/>
  <c r="AF579" i="12"/>
  <c r="AF572" i="12"/>
  <c r="AF502" i="12"/>
  <c r="AF376" i="12"/>
  <c r="AF649" i="12"/>
  <c r="AF614" i="12"/>
  <c r="AF411" i="12"/>
  <c r="J403" i="29"/>
  <c r="L403" i="29"/>
  <c r="H403" i="29"/>
  <c r="AF684" i="12"/>
  <c r="AF677" i="12"/>
  <c r="AF586" i="12"/>
  <c r="AF558" i="12"/>
  <c r="AF551" i="12"/>
  <c r="AF481" i="12"/>
  <c r="AF453" i="12"/>
  <c r="AF446" i="12"/>
  <c r="AF712" i="12"/>
  <c r="AF509" i="12"/>
  <c r="H409" i="29"/>
  <c r="L409" i="29"/>
  <c r="J409" i="29"/>
  <c r="AF495" i="12"/>
  <c r="AF642" i="12"/>
  <c r="AF418" i="12"/>
  <c r="AF390" i="12"/>
  <c r="AF383" i="12"/>
  <c r="AF635" i="12"/>
  <c r="AF663" i="12"/>
  <c r="AE696" i="12"/>
  <c r="AF593" i="12"/>
  <c r="AE542" i="12"/>
  <c r="AF537" i="12"/>
  <c r="AF516" i="12"/>
  <c r="AE451" i="12"/>
  <c r="AE424" i="12"/>
  <c r="L788" i="29"/>
  <c r="L772" i="29"/>
  <c r="H772" i="29"/>
  <c r="J772" i="29"/>
  <c r="J814" i="29" s="1"/>
  <c r="L787" i="29"/>
  <c r="AF175" i="12"/>
  <c r="AF621" i="12"/>
  <c r="AE679" i="12"/>
  <c r="AF656" i="12"/>
  <c r="AF565" i="12"/>
  <c r="AF600" i="12"/>
  <c r="AE87" i="12"/>
  <c r="L786" i="29"/>
  <c r="L415" i="29"/>
  <c r="H415" i="29"/>
  <c r="J415" i="29"/>
  <c r="AF68" i="12"/>
  <c r="AF731" i="12"/>
  <c r="J433" i="29"/>
  <c r="L433" i="29"/>
  <c r="H433" i="29"/>
  <c r="AF89" i="12"/>
  <c r="AF75" i="12"/>
  <c r="AF670" i="12"/>
  <c r="AF691" i="12"/>
  <c r="L774" i="29"/>
  <c r="H774" i="29"/>
  <c r="J774" i="29"/>
  <c r="J816" i="29" s="1"/>
  <c r="L781" i="29"/>
  <c r="AF156" i="12"/>
  <c r="L790" i="29"/>
  <c r="L775" i="29"/>
  <c r="AF137" i="12"/>
  <c r="J445" i="29"/>
  <c r="L445" i="29"/>
  <c r="H445" i="29"/>
  <c r="L785" i="29"/>
  <c r="L791" i="29"/>
  <c r="L789" i="29"/>
  <c r="L792" i="29"/>
  <c r="AF61" i="12"/>
  <c r="J451" i="29"/>
  <c r="L451" i="29"/>
  <c r="H451" i="29"/>
  <c r="J427" i="29"/>
  <c r="L427" i="29"/>
  <c r="H427" i="29"/>
  <c r="AF82" i="12"/>
  <c r="J773" i="29"/>
  <c r="J815" i="29" s="1"/>
  <c r="L773" i="29"/>
  <c r="H773" i="29"/>
  <c r="L784" i="29"/>
  <c r="AH411" i="8"/>
  <c r="AI461" i="8"/>
  <c r="AH438" i="8"/>
  <c r="AH403" i="8"/>
  <c r="AH49" i="8"/>
  <c r="AH53" i="8"/>
  <c r="AH83" i="8"/>
  <c r="AI419" i="8"/>
  <c r="AH56" i="8"/>
  <c r="AH82" i="8"/>
  <c r="AI447" i="8"/>
  <c r="AH489" i="8"/>
  <c r="AH433" i="8"/>
  <c r="AH349" i="8"/>
  <c r="AH52" i="8"/>
  <c r="AH549" i="8"/>
  <c r="AH503" i="8"/>
  <c r="AH453" i="8"/>
  <c r="AH122" i="8"/>
  <c r="AH552" i="8"/>
  <c r="AH474" i="8"/>
  <c r="AI531" i="8"/>
  <c r="AI454" i="8"/>
  <c r="AI426" i="8"/>
  <c r="AH47" i="8"/>
  <c r="AH80" i="8"/>
  <c r="AI489" i="8"/>
  <c r="AI517" i="8"/>
  <c r="AI405" i="8"/>
  <c r="AI398" i="8"/>
  <c r="AI468" i="8"/>
  <c r="AI440" i="8"/>
  <c r="AH95" i="8"/>
  <c r="AH46" i="8"/>
  <c r="AI503" i="8"/>
  <c r="AI475" i="8"/>
  <c r="AH389" i="8"/>
  <c r="AI412" i="8"/>
  <c r="AH397" i="8"/>
  <c r="AH412" i="8"/>
  <c r="AH429" i="8"/>
  <c r="AH461" i="8"/>
  <c r="O630" i="29" s="1"/>
  <c r="AH405" i="8"/>
  <c r="AH342" i="8"/>
  <c r="AH300" i="8"/>
  <c r="AH79" i="8"/>
  <c r="AH535" i="8"/>
  <c r="AH443" i="8"/>
  <c r="AH417" i="8"/>
  <c r="AH436" i="8"/>
  <c r="O608" i="29" s="1"/>
  <c r="AH410" i="8"/>
  <c r="AH394" i="8"/>
  <c r="AH87" i="8"/>
  <c r="AH69" i="8"/>
  <c r="AH516" i="8"/>
  <c r="AH605" i="8"/>
  <c r="AH591" i="8"/>
  <c r="AH577" i="8"/>
  <c r="AH502" i="8"/>
  <c r="AH531" i="8"/>
  <c r="AH456" i="8"/>
  <c r="O625" i="29" s="1"/>
  <c r="AH431" i="8"/>
  <c r="AH400" i="8"/>
  <c r="AH449" i="8"/>
  <c r="AH66" i="8"/>
  <c r="AH426" i="8"/>
  <c r="AH521" i="8"/>
  <c r="O681" i="29" s="1"/>
  <c r="AH488" i="8"/>
  <c r="AH430" i="8"/>
  <c r="AH447" i="8"/>
  <c r="AH587" i="8"/>
  <c r="AH493" i="8"/>
  <c r="AH440" i="8"/>
  <c r="AH425" i="8"/>
  <c r="AH479" i="8"/>
  <c r="AH517" i="8"/>
  <c r="AH475" i="8"/>
  <c r="AH463" i="8"/>
  <c r="O631" i="29" s="1"/>
  <c r="AH466" i="8"/>
  <c r="AH424" i="8"/>
  <c r="AH418" i="8"/>
  <c r="AH409" i="8"/>
  <c r="AH115" i="8"/>
  <c r="AH398" i="8"/>
  <c r="AH314" i="8"/>
  <c r="AH67" i="8"/>
  <c r="AH445" i="8"/>
  <c r="AH432" i="8"/>
  <c r="AH423" i="8"/>
  <c r="AH407" i="8"/>
  <c r="AH339" i="8"/>
  <c r="AH383" i="8"/>
  <c r="AG97" i="8"/>
  <c r="AH586" i="8"/>
  <c r="AH612" i="8"/>
  <c r="AH608" i="8"/>
  <c r="AH594" i="8"/>
  <c r="AH580" i="8"/>
  <c r="O731" i="29" s="1"/>
  <c r="AH507" i="8"/>
  <c r="AH459" i="8"/>
  <c r="O628" i="29" s="1"/>
  <c r="AH444" i="8"/>
  <c r="AH446" i="8"/>
  <c r="AH437" i="8"/>
  <c r="AH421" i="8"/>
  <c r="AH395" i="8"/>
  <c r="AH335" i="8"/>
  <c r="AH293" i="8"/>
  <c r="AH353" i="8"/>
  <c r="AH55" i="8"/>
  <c r="AH499" i="8"/>
  <c r="AH468" i="8"/>
  <c r="AH573" i="8"/>
  <c r="AH88" i="8"/>
  <c r="AH585" i="8"/>
  <c r="AH599" i="8"/>
  <c r="AH513" i="8"/>
  <c r="AH127" i="8"/>
  <c r="O459" i="29" s="1"/>
  <c r="AH130" i="8"/>
  <c r="O462" i="29" s="1"/>
  <c r="AH70" i="8"/>
  <c r="AH556" i="8"/>
  <c r="AH367" i="8"/>
  <c r="AH370" i="8"/>
  <c r="AH93" i="8"/>
  <c r="AH356" i="8"/>
  <c r="AH298" i="8"/>
  <c r="AH621" i="8"/>
  <c r="O767" i="29" s="1"/>
  <c r="AH607" i="8"/>
  <c r="AH593" i="8"/>
  <c r="AH579" i="8"/>
  <c r="AH565" i="8"/>
  <c r="AH551" i="8"/>
  <c r="AH566" i="8"/>
  <c r="O719" i="29" s="1"/>
  <c r="AH601" i="8"/>
  <c r="AH584" i="8"/>
  <c r="AH536" i="8"/>
  <c r="AH522" i="8"/>
  <c r="AH508" i="8"/>
  <c r="AH494" i="8"/>
  <c r="AH524" i="8"/>
  <c r="AH515" i="8"/>
  <c r="AH509" i="8"/>
  <c r="AH422" i="8"/>
  <c r="AH571" i="8"/>
  <c r="AH454" i="8"/>
  <c r="AH538" i="8"/>
  <c r="AH529" i="8"/>
  <c r="AH408" i="8"/>
  <c r="AH388" i="8"/>
  <c r="AH348" i="8"/>
  <c r="AH292" i="8"/>
  <c r="O468" i="29" s="1"/>
  <c r="AH457" i="8"/>
  <c r="O626" i="29" s="1"/>
  <c r="AH307" i="8"/>
  <c r="AH113" i="8"/>
  <c r="AH321" i="8"/>
  <c r="AH312" i="8"/>
  <c r="AH94" i="8"/>
  <c r="AH86" i="8"/>
  <c r="AH544" i="8"/>
  <c r="AH428" i="8"/>
  <c r="AH340" i="8"/>
  <c r="AH128" i="8"/>
  <c r="O460" i="29" s="1"/>
  <c r="AH78" i="8"/>
  <c r="AH65" i="8"/>
  <c r="AH51" i="8"/>
  <c r="AH558" i="8"/>
  <c r="AH526" i="8"/>
  <c r="AH510" i="8"/>
  <c r="AH501" i="8"/>
  <c r="O664" i="29" s="1"/>
  <c r="AH495" i="8"/>
  <c r="AH487" i="8"/>
  <c r="AH481" i="8"/>
  <c r="AH473" i="8"/>
  <c r="AH442" i="8"/>
  <c r="AH419" i="8"/>
  <c r="AH75" i="8"/>
  <c r="AH81" i="8"/>
  <c r="AH77" i="8"/>
  <c r="AH68" i="8"/>
  <c r="AH63" i="8"/>
  <c r="AH54" i="8"/>
  <c r="AE625" i="12"/>
  <c r="AE647" i="12"/>
  <c r="AE632" i="12"/>
  <c r="O693" i="29" s="1"/>
  <c r="AE497" i="12"/>
  <c r="AE506" i="12"/>
  <c r="AE380" i="12"/>
  <c r="AE512" i="12"/>
  <c r="O584" i="29" s="1"/>
  <c r="AE688" i="12"/>
  <c r="AE666" i="12"/>
  <c r="AE564" i="12"/>
  <c r="AE381" i="12"/>
  <c r="O472" i="29" s="1"/>
  <c r="AE691" i="12"/>
  <c r="O744" i="29" s="1"/>
  <c r="AE703" i="12"/>
  <c r="AE743" i="12"/>
  <c r="AE724" i="12"/>
  <c r="AE686" i="12"/>
  <c r="AE535" i="12"/>
  <c r="O604" i="29" s="1"/>
  <c r="AE499" i="12"/>
  <c r="AE682" i="12"/>
  <c r="O736" i="29" s="1"/>
  <c r="AE661" i="12"/>
  <c r="AE654" i="12"/>
  <c r="AE639" i="12"/>
  <c r="AE591" i="12"/>
  <c r="O658" i="29" s="1"/>
  <c r="AE558" i="12"/>
  <c r="O624" i="29" s="1"/>
  <c r="AE606" i="12"/>
  <c r="AE549" i="12"/>
  <c r="AE599" i="12"/>
  <c r="O665" i="29" s="1"/>
  <c r="AE458" i="12"/>
  <c r="AE456" i="12"/>
  <c r="AE430" i="12"/>
  <c r="AE100" i="12"/>
  <c r="AE521" i="12"/>
  <c r="O592" i="29" s="1"/>
  <c r="AE684" i="12"/>
  <c r="O738" i="29" s="1"/>
  <c r="AE677" i="12"/>
  <c r="AE663" i="12"/>
  <c r="O720" i="29" s="1"/>
  <c r="AE501" i="12"/>
  <c r="O575" i="29" s="1"/>
  <c r="AE504" i="12"/>
  <c r="AE444" i="12"/>
  <c r="O526" i="29" s="1"/>
  <c r="AE404" i="12"/>
  <c r="O492" i="29" s="1"/>
  <c r="AE675" i="12"/>
  <c r="AE665" i="12"/>
  <c r="AE514" i="12"/>
  <c r="AE659" i="12"/>
  <c r="AE536" i="12"/>
  <c r="AE651" i="12"/>
  <c r="AE716" i="12"/>
  <c r="AE565" i="12"/>
  <c r="AE556" i="12"/>
  <c r="AE548" i="12"/>
  <c r="O615" i="29" s="1"/>
  <c r="AE390" i="12"/>
  <c r="AE445" i="12"/>
  <c r="O527" i="29" s="1"/>
  <c r="AE668" i="12"/>
  <c r="AE515" i="12"/>
  <c r="O587" i="29" s="1"/>
  <c r="AE555" i="12"/>
  <c r="O621" i="29" s="1"/>
  <c r="AE471" i="12"/>
  <c r="O549" i="29" s="1"/>
  <c r="AE509" i="12"/>
  <c r="AE455" i="12"/>
  <c r="O535" i="29" s="1"/>
  <c r="AE411" i="12"/>
  <c r="O498" i="29" s="1"/>
  <c r="AE121" i="12"/>
  <c r="AE127" i="12" s="1"/>
  <c r="O772" i="29" s="1"/>
  <c r="AE94" i="12"/>
  <c r="AE414" i="12"/>
  <c r="O500" i="29" s="1"/>
  <c r="AE394" i="12"/>
  <c r="AE65" i="12"/>
  <c r="AE628" i="12"/>
  <c r="AE695" i="12"/>
  <c r="AE561" i="12"/>
  <c r="AE534" i="12"/>
  <c r="O603" i="29" s="1"/>
  <c r="AE436" i="12"/>
  <c r="AE161" i="12"/>
  <c r="AE712" i="12"/>
  <c r="AE670" i="12"/>
  <c r="AE656" i="12"/>
  <c r="AE744" i="12"/>
  <c r="AE738" i="12"/>
  <c r="AE725" i="12"/>
  <c r="AE689" i="12"/>
  <c r="AE690" i="12"/>
  <c r="O743" i="29" s="1"/>
  <c r="AE621" i="12"/>
  <c r="AE635" i="12"/>
  <c r="AE563" i="12"/>
  <c r="AE511" i="12"/>
  <c r="O583" i="29" s="1"/>
  <c r="AE551" i="12"/>
  <c r="O618" i="29" s="1"/>
  <c r="AE500" i="12"/>
  <c r="O574" i="29" s="1"/>
  <c r="AE492" i="12"/>
  <c r="O567" i="29" s="1"/>
  <c r="AE459" i="12"/>
  <c r="O539" i="29" s="1"/>
  <c r="AE498" i="12"/>
  <c r="AE437" i="12"/>
  <c r="AE505" i="12"/>
  <c r="AE410" i="12"/>
  <c r="O497" i="29" s="1"/>
  <c r="AE373" i="12"/>
  <c r="AE167" i="12"/>
  <c r="AE135" i="12"/>
  <c r="O778" i="29" s="1"/>
  <c r="AE73" i="12"/>
  <c r="AE487" i="12"/>
  <c r="AE553" i="12"/>
  <c r="O619" i="29" s="1"/>
  <c r="AE562" i="12"/>
  <c r="AE520" i="12"/>
  <c r="AE443" i="12"/>
  <c r="AE672" i="12"/>
  <c r="AE658" i="12"/>
  <c r="AE717" i="12"/>
  <c r="AE698" i="12"/>
  <c r="O750" i="29" s="1"/>
  <c r="AE519" i="12"/>
  <c r="AE513" i="12"/>
  <c r="O585" i="29" s="1"/>
  <c r="AE516" i="12"/>
  <c r="O588" i="29" s="1"/>
  <c r="AE523" i="12"/>
  <c r="O594" i="29" s="1"/>
  <c r="AE529" i="12"/>
  <c r="O599" i="29" s="1"/>
  <c r="AE600" i="12"/>
  <c r="AE537" i="12"/>
  <c r="O606" i="29" s="1"/>
  <c r="AE474" i="12"/>
  <c r="AE446" i="12"/>
  <c r="AE473" i="12"/>
  <c r="O551" i="29" s="1"/>
  <c r="AE479" i="12"/>
  <c r="AE142" i="12"/>
  <c r="AE154" i="12" s="1"/>
  <c r="O784" i="29" s="1"/>
  <c r="AE108" i="12"/>
  <c r="AE80" i="12"/>
  <c r="AE160" i="12"/>
  <c r="AE409" i="12"/>
  <c r="O496" i="29" s="1"/>
  <c r="AE116" i="12"/>
  <c r="AE88" i="12"/>
  <c r="AE418" i="12"/>
  <c r="O504" i="29" s="1"/>
  <c r="AF129" i="12"/>
  <c r="AH391" i="8"/>
  <c r="AH572" i="8"/>
  <c r="AH464" i="8"/>
  <c r="AH375" i="8"/>
  <c r="AH361" i="8"/>
  <c r="AH347" i="8"/>
  <c r="AH333" i="8"/>
  <c r="AH319" i="8"/>
  <c r="AH305" i="8"/>
  <c r="O478" i="29" s="1"/>
  <c r="AH291" i="8"/>
  <c r="AH120" i="8"/>
  <c r="AH106" i="8"/>
  <c r="AH401" i="8"/>
  <c r="AH384" i="8"/>
  <c r="AH379" i="8"/>
  <c r="AH380" i="8"/>
  <c r="AH328" i="8"/>
  <c r="AH323" i="8"/>
  <c r="AH324" i="8"/>
  <c r="AH363" i="8"/>
  <c r="AH354" i="8"/>
  <c r="AH299" i="8"/>
  <c r="AH89" i="8"/>
  <c r="AH114" i="8"/>
  <c r="AH377" i="8"/>
  <c r="AH368" i="8"/>
  <c r="AH313" i="8"/>
  <c r="O486" i="29" s="1"/>
  <c r="AH44" i="8"/>
  <c r="AH45" i="8"/>
  <c r="AH376" i="8"/>
  <c r="AH334" i="8"/>
  <c r="AH306" i="8"/>
  <c r="AH121" i="8"/>
  <c r="AH337" i="8"/>
  <c r="AH338" i="8"/>
  <c r="AH125" i="8"/>
  <c r="O457" i="29" s="1"/>
  <c r="AH126" i="8"/>
  <c r="O458" i="29" s="1"/>
  <c r="AH351" i="8"/>
  <c r="AH352" i="8"/>
  <c r="AH415" i="8"/>
  <c r="AH606" i="8"/>
  <c r="AH578" i="8"/>
  <c r="AH550" i="8"/>
  <c r="AH533" i="8"/>
  <c r="AH534" i="8"/>
  <c r="AH615" i="8"/>
  <c r="O761" i="29" s="1"/>
  <c r="AH598" i="8"/>
  <c r="AH472" i="8"/>
  <c r="AH618" i="8"/>
  <c r="O764" i="29" s="1"/>
  <c r="AH617" i="8"/>
  <c r="O763" i="29" s="1"/>
  <c r="AH590" i="8"/>
  <c r="AH589" i="8"/>
  <c r="AH562" i="8"/>
  <c r="AH561" i="8"/>
  <c r="AH613" i="8"/>
  <c r="AH559" i="8"/>
  <c r="AH554" i="8"/>
  <c r="AH555" i="8"/>
  <c r="AH523" i="8"/>
  <c r="AH514" i="8"/>
  <c r="AH498" i="8"/>
  <c r="AH484" i="8"/>
  <c r="AH470" i="8"/>
  <c r="AH471" i="8"/>
  <c r="AH458" i="8"/>
  <c r="O627" i="29" s="1"/>
  <c r="AH402" i="8"/>
  <c r="AH467" i="8"/>
  <c r="AH452" i="8"/>
  <c r="AH542" i="8"/>
  <c r="AH545" i="8"/>
  <c r="O701" i="29" s="1"/>
  <c r="AH450" i="8"/>
  <c r="AH390" i="8"/>
  <c r="AH374" i="8"/>
  <c r="AH360" i="8"/>
  <c r="AH346" i="8"/>
  <c r="AH332" i="8"/>
  <c r="AH318" i="8"/>
  <c r="AH304" i="8"/>
  <c r="AH290" i="8"/>
  <c r="AH119" i="8"/>
  <c r="AH105" i="8"/>
  <c r="AH570" i="8"/>
  <c r="AH387" i="8"/>
  <c r="AH386" i="8"/>
  <c r="AH373" i="8"/>
  <c r="AH372" i="8"/>
  <c r="AH359" i="8"/>
  <c r="AH358" i="8"/>
  <c r="AH345" i="8"/>
  <c r="AH344" i="8"/>
  <c r="AH331" i="8"/>
  <c r="AH330" i="8"/>
  <c r="AH317" i="8"/>
  <c r="AH316" i="8"/>
  <c r="AH303" i="8"/>
  <c r="AH302" i="8"/>
  <c r="AH289" i="8"/>
  <c r="AH288" i="8"/>
  <c r="AH118" i="8"/>
  <c r="AH117" i="8"/>
  <c r="AH104" i="8"/>
  <c r="AH103" i="8"/>
  <c r="AH341" i="8"/>
  <c r="AH129" i="8"/>
  <c r="O461" i="29" s="1"/>
  <c r="AH60" i="8"/>
  <c r="AH382" i="8"/>
  <c r="AH326" i="8"/>
  <c r="AH355" i="8"/>
  <c r="AH61" i="8"/>
  <c r="AH369" i="8"/>
  <c r="AH381" i="8"/>
  <c r="AH582" i="8"/>
  <c r="AH583" i="8"/>
  <c r="AH596" i="8"/>
  <c r="AH597" i="8"/>
  <c r="AH480" i="8"/>
  <c r="AH527" i="8"/>
  <c r="AH541" i="8"/>
  <c r="AH540" i="8"/>
  <c r="AH362" i="8"/>
  <c r="AH320" i="8"/>
  <c r="AH107" i="8"/>
  <c r="AH90" i="8"/>
  <c r="AH91" i="8"/>
  <c r="AH72" i="8"/>
  <c r="AH73" i="8"/>
  <c r="AH365" i="8"/>
  <c r="AH366" i="8"/>
  <c r="AH619" i="8"/>
  <c r="O765" i="29" s="1"/>
  <c r="AH620" i="8"/>
  <c r="O766" i="29" s="1"/>
  <c r="AH592" i="8"/>
  <c r="AH564" i="8"/>
  <c r="AH519" i="8"/>
  <c r="AH520" i="8"/>
  <c r="AH505" i="8"/>
  <c r="AH506" i="8"/>
  <c r="AH491" i="8"/>
  <c r="O655" i="29" s="1"/>
  <c r="AH492" i="8"/>
  <c r="AH477" i="8"/>
  <c r="AH478" i="8"/>
  <c r="AH610" i="8"/>
  <c r="AH611" i="8"/>
  <c r="AH500" i="8"/>
  <c r="AH486" i="8"/>
  <c r="AH604" i="8"/>
  <c r="AH603" i="8"/>
  <c r="AH576" i="8"/>
  <c r="AH575" i="8"/>
  <c r="AH548" i="8"/>
  <c r="AH547" i="8"/>
  <c r="AH622" i="8"/>
  <c r="O768" i="29" s="1"/>
  <c r="AH530" i="8"/>
  <c r="AH614" i="8"/>
  <c r="AH557" i="8"/>
  <c r="AH537" i="8"/>
  <c r="AH528" i="8"/>
  <c r="AH512" i="8"/>
  <c r="AH496" i="8"/>
  <c r="AH482" i="8"/>
  <c r="AH485" i="8"/>
  <c r="AH416" i="8"/>
  <c r="AH465" i="8"/>
  <c r="AH460" i="8"/>
  <c r="O629" i="29" s="1"/>
  <c r="AH435" i="8"/>
  <c r="AH404" i="8"/>
  <c r="AH543" i="8"/>
  <c r="AH568" i="8"/>
  <c r="AH569" i="8"/>
  <c r="AH393" i="8"/>
  <c r="AH74" i="8"/>
  <c r="AH112" i="8"/>
  <c r="AH297" i="8"/>
  <c r="AH295" i="8"/>
  <c r="AH296" i="8"/>
  <c r="AH84" i="8"/>
  <c r="AH85" i="8"/>
  <c r="AH59" i="8"/>
  <c r="AH58" i="8"/>
  <c r="AH325" i="8"/>
  <c r="AH110" i="8"/>
  <c r="AH111" i="8"/>
  <c r="AH92" i="8"/>
  <c r="AH311" i="8"/>
  <c r="AH309" i="8"/>
  <c r="AH310" i="8"/>
  <c r="AH108" i="8"/>
  <c r="AH76" i="8"/>
  <c r="AH62" i="8"/>
  <c r="AH48" i="8"/>
  <c r="AE617" i="12"/>
  <c r="O680" i="29" s="1"/>
  <c r="AE616" i="12"/>
  <c r="AE525" i="12"/>
  <c r="O595" i="29" s="1"/>
  <c r="AE526" i="12"/>
  <c r="O596" i="29" s="1"/>
  <c r="AE624" i="12"/>
  <c r="AE623" i="12"/>
  <c r="O685" i="29" s="1"/>
  <c r="AE697" i="12"/>
  <c r="O749" i="29" s="1"/>
  <c r="AE532" i="12"/>
  <c r="O601" i="29" s="1"/>
  <c r="AE533" i="12"/>
  <c r="O602" i="29" s="1"/>
  <c r="AE539" i="12"/>
  <c r="O607" i="29" s="1"/>
  <c r="AE106" i="12"/>
  <c r="AE105" i="12"/>
  <c r="AE149" i="12"/>
  <c r="AE448" i="12"/>
  <c r="O529" i="29" s="1"/>
  <c r="AE449" i="12"/>
  <c r="AE79" i="12"/>
  <c r="AE438" i="12"/>
  <c r="O521" i="29" s="1"/>
  <c r="AE372" i="12"/>
  <c r="AE371" i="12"/>
  <c r="AE385" i="12"/>
  <c r="O475" i="29" s="1"/>
  <c r="AE718" i="12"/>
  <c r="AE642" i="12"/>
  <c r="O702" i="29" s="1"/>
  <c r="AE638" i="12"/>
  <c r="AE637" i="12"/>
  <c r="AE626" i="12"/>
  <c r="O688" i="29" s="1"/>
  <c r="AE619" i="12"/>
  <c r="O682" i="29" s="1"/>
  <c r="AE687" i="12"/>
  <c r="O740" i="29" s="1"/>
  <c r="AE646" i="12"/>
  <c r="O705" i="29" s="1"/>
  <c r="AE633" i="12"/>
  <c r="AE593" i="12"/>
  <c r="O660" i="29" s="1"/>
  <c r="AE584" i="12"/>
  <c r="O652" i="29" s="1"/>
  <c r="AE613" i="12"/>
  <c r="O677" i="29" s="1"/>
  <c r="AE589" i="12"/>
  <c r="O656" i="29" s="1"/>
  <c r="AE583" i="12"/>
  <c r="O651" i="29" s="1"/>
  <c r="AE585" i="12"/>
  <c r="O653" i="29" s="1"/>
  <c r="AE567" i="12"/>
  <c r="O637" i="29" s="1"/>
  <c r="AE568" i="12"/>
  <c r="O638" i="29" s="1"/>
  <c r="AE546" i="12"/>
  <c r="O613" i="29" s="1"/>
  <c r="AE547" i="12"/>
  <c r="O614" i="29" s="1"/>
  <c r="AE541" i="12"/>
  <c r="O609" i="29" s="1"/>
  <c r="AE543" i="12"/>
  <c r="O611" i="29" s="1"/>
  <c r="AE604" i="12"/>
  <c r="AE579" i="12"/>
  <c r="AE570" i="12"/>
  <c r="O640" i="29" s="1"/>
  <c r="AE530" i="12"/>
  <c r="O600" i="29" s="1"/>
  <c r="AE572" i="12"/>
  <c r="O642" i="29" s="1"/>
  <c r="AE491" i="12"/>
  <c r="O566" i="29" s="1"/>
  <c r="AE495" i="12"/>
  <c r="O570" i="29" s="1"/>
  <c r="AE464" i="12"/>
  <c r="O543" i="29" s="1"/>
  <c r="AE467" i="12"/>
  <c r="O546" i="29" s="1"/>
  <c r="AE439" i="12"/>
  <c r="O522" i="29" s="1"/>
  <c r="AE508" i="12"/>
  <c r="O581" i="29" s="1"/>
  <c r="AE472" i="12"/>
  <c r="O550" i="29" s="1"/>
  <c r="AE478" i="12"/>
  <c r="AE480" i="12"/>
  <c r="O557" i="29" s="1"/>
  <c r="AE431" i="12"/>
  <c r="AE146" i="12"/>
  <c r="AE145" i="12"/>
  <c r="AE113" i="12"/>
  <c r="AE112" i="12"/>
  <c r="AE85" i="12"/>
  <c r="AE84" i="12"/>
  <c r="AE66" i="12"/>
  <c r="AE375" i="12"/>
  <c r="O467" i="29" s="1"/>
  <c r="AE162" i="12"/>
  <c r="AE122" i="12"/>
  <c r="AE95" i="12"/>
  <c r="AE67" i="12"/>
  <c r="AE421" i="12"/>
  <c r="AE420" i="12"/>
  <c r="O505" i="29" s="1"/>
  <c r="AE147" i="12"/>
  <c r="AE134" i="12"/>
  <c r="O777" i="29" s="1"/>
  <c r="AE400" i="12"/>
  <c r="O488" i="29" s="1"/>
  <c r="AE399" i="12"/>
  <c r="O487" i="29" s="1"/>
  <c r="AE387" i="12"/>
  <c r="O477" i="29" s="1"/>
  <c r="AE169" i="12"/>
  <c r="AE163" i="12"/>
  <c r="AE150" i="12"/>
  <c r="AE144" i="12"/>
  <c r="AE137" i="12"/>
  <c r="O780" i="29" s="1"/>
  <c r="AE123" i="12"/>
  <c r="AE117" i="12"/>
  <c r="AE110" i="12"/>
  <c r="AE103" i="12"/>
  <c r="AE96" i="12"/>
  <c r="AE89" i="12"/>
  <c r="AE82" i="12"/>
  <c r="AE75" i="12"/>
  <c r="AE68" i="12"/>
  <c r="AE61" i="12"/>
  <c r="AE483" i="12"/>
  <c r="O559" i="29" s="1"/>
  <c r="AE484" i="12"/>
  <c r="O560" i="29" s="1"/>
  <c r="AE408" i="12"/>
  <c r="O495" i="29" s="1"/>
  <c r="AE393" i="12"/>
  <c r="AE644" i="12"/>
  <c r="O703" i="29" s="1"/>
  <c r="AE645" i="12"/>
  <c r="O704" i="29" s="1"/>
  <c r="AE631" i="12"/>
  <c r="AE630" i="12"/>
  <c r="O691" i="29" s="1"/>
  <c r="AE612" i="12"/>
  <c r="O676" i="29" s="1"/>
  <c r="AE597" i="12"/>
  <c r="O663" i="29" s="1"/>
  <c r="AE709" i="12"/>
  <c r="AE708" i="12"/>
  <c r="O758" i="29" s="1"/>
  <c r="AE707" i="12"/>
  <c r="AE669" i="12"/>
  <c r="O725" i="29" s="1"/>
  <c r="AE741" i="12"/>
  <c r="AE740" i="12"/>
  <c r="AE739" i="12"/>
  <c r="AE722" i="12"/>
  <c r="AE721" i="12"/>
  <c r="AE720" i="12"/>
  <c r="AE674" i="12"/>
  <c r="O729" i="29" s="1"/>
  <c r="AE660" i="12"/>
  <c r="O717" i="29" s="1"/>
  <c r="AE620" i="12"/>
  <c r="AE649" i="12"/>
  <c r="AE614" i="12"/>
  <c r="AE441" i="12"/>
  <c r="O523" i="29" s="1"/>
  <c r="AE442" i="12"/>
  <c r="O524" i="29" s="1"/>
  <c r="AE476" i="12"/>
  <c r="O553" i="29" s="1"/>
  <c r="AE477" i="12"/>
  <c r="O554" i="29" s="1"/>
  <c r="AE432" i="12"/>
  <c r="O516" i="29" s="1"/>
  <c r="AE159" i="12"/>
  <c r="AE158" i="12"/>
  <c r="AE119" i="12"/>
  <c r="AE118" i="12"/>
  <c r="AE101" i="12"/>
  <c r="AE92" i="12"/>
  <c r="AE91" i="12"/>
  <c r="AE64" i="12"/>
  <c r="AE63" i="12"/>
  <c r="AE107" i="12"/>
  <c r="AE406" i="12"/>
  <c r="O493" i="29" s="1"/>
  <c r="AE407" i="12"/>
  <c r="O494" i="29" s="1"/>
  <c r="AE168" i="12"/>
  <c r="AE136" i="12"/>
  <c r="O779" i="29" s="1"/>
  <c r="AE102" i="12"/>
  <c r="AE74" i="12"/>
  <c r="AE466" i="12"/>
  <c r="O545" i="29" s="1"/>
  <c r="AE453" i="12"/>
  <c r="O534" i="29" s="1"/>
  <c r="AE423" i="12"/>
  <c r="O508" i="29" s="1"/>
  <c r="AE422" i="12"/>
  <c r="O507" i="29" s="1"/>
  <c r="AE415" i="12"/>
  <c r="O501" i="29" s="1"/>
  <c r="AE396" i="12"/>
  <c r="O485" i="29" s="1"/>
  <c r="AE374" i="12"/>
  <c r="O466" i="29" s="1"/>
  <c r="AE486" i="12"/>
  <c r="O562" i="29" s="1"/>
  <c r="AE485" i="12"/>
  <c r="O561" i="29" s="1"/>
  <c r="AE488" i="12"/>
  <c r="O564" i="29" s="1"/>
  <c r="AE114" i="12"/>
  <c r="AE93" i="12"/>
  <c r="AE737" i="12"/>
  <c r="AE595" i="12"/>
  <c r="AE596" i="12"/>
  <c r="O662" i="29" s="1"/>
  <c r="AE462" i="12"/>
  <c r="O541" i="29" s="1"/>
  <c r="AE463" i="12"/>
  <c r="O542" i="29" s="1"/>
  <c r="AE465" i="12"/>
  <c r="AE140" i="12"/>
  <c r="AE139" i="12"/>
  <c r="AE78" i="12"/>
  <c r="AE77" i="12"/>
  <c r="AE378" i="12"/>
  <c r="AE379" i="12"/>
  <c r="O470" i="29" s="1"/>
  <c r="AE683" i="12"/>
  <c r="AE655" i="12"/>
  <c r="O713" i="29" s="1"/>
  <c r="AE735" i="12"/>
  <c r="AE734" i="12"/>
  <c r="AE733" i="12"/>
  <c r="AE681" i="12"/>
  <c r="O735" i="29" s="1"/>
  <c r="AE667" i="12"/>
  <c r="O723" i="29" s="1"/>
  <c r="AE653" i="12"/>
  <c r="O711" i="29" s="1"/>
  <c r="AE640" i="12"/>
  <c r="O700" i="29" s="1"/>
  <c r="AE694" i="12"/>
  <c r="O746" i="29" s="1"/>
  <c r="AE693" i="12"/>
  <c r="O745" i="29" s="1"/>
  <c r="AE602" i="12"/>
  <c r="O667" i="29" s="1"/>
  <c r="AE603" i="12"/>
  <c r="O668" i="29" s="1"/>
  <c r="AE528" i="12"/>
  <c r="O598" i="29" s="1"/>
  <c r="AE557" i="12"/>
  <c r="O623" i="29" s="1"/>
  <c r="AE607" i="12"/>
  <c r="O672" i="29" s="1"/>
  <c r="AE550" i="12"/>
  <c r="O617" i="29" s="1"/>
  <c r="AE502" i="12"/>
  <c r="AE469" i="12"/>
  <c r="O547" i="29" s="1"/>
  <c r="AE470" i="12"/>
  <c r="O548" i="29" s="1"/>
  <c r="AE710" i="12"/>
  <c r="O760" i="29" s="1"/>
  <c r="AE702" i="12"/>
  <c r="O753" i="29" s="1"/>
  <c r="AE705" i="12"/>
  <c r="AE701" i="12"/>
  <c r="O752" i="29" s="1"/>
  <c r="AE700" i="12"/>
  <c r="O751" i="29" s="1"/>
  <c r="AE742" i="12"/>
  <c r="AE736" i="12"/>
  <c r="AE723" i="12"/>
  <c r="AE680" i="12"/>
  <c r="AE673" i="12"/>
  <c r="O728" i="29" s="1"/>
  <c r="AE652" i="12"/>
  <c r="O710" i="29" s="1"/>
  <c r="AE719" i="12"/>
  <c r="AE715" i="12"/>
  <c r="AE714" i="12"/>
  <c r="AE648" i="12"/>
  <c r="O707" i="29" s="1"/>
  <c r="AE590" i="12"/>
  <c r="O657" i="29" s="1"/>
  <c r="AE592" i="12"/>
  <c r="O659" i="29" s="1"/>
  <c r="AE574" i="12"/>
  <c r="O643" i="29" s="1"/>
  <c r="AE575" i="12"/>
  <c r="O644" i="29" s="1"/>
  <c r="AE611" i="12"/>
  <c r="O675" i="29" s="1"/>
  <c r="AE610" i="12"/>
  <c r="O674" i="29" s="1"/>
  <c r="AE609" i="12"/>
  <c r="AE586" i="12"/>
  <c r="O654" i="29" s="1"/>
  <c r="AE577" i="12"/>
  <c r="O646" i="29" s="1"/>
  <c r="AE544" i="12"/>
  <c r="O612" i="29" s="1"/>
  <c r="AE522" i="12"/>
  <c r="O593" i="29" s="1"/>
  <c r="AE605" i="12"/>
  <c r="O670" i="29" s="1"/>
  <c r="AE582" i="12"/>
  <c r="O650" i="29" s="1"/>
  <c r="AE576" i="12"/>
  <c r="AE578" i="12"/>
  <c r="O647" i="29" s="1"/>
  <c r="AE527" i="12"/>
  <c r="O597" i="29" s="1"/>
  <c r="AE569" i="12"/>
  <c r="O639" i="29" s="1"/>
  <c r="AE571" i="12"/>
  <c r="O641" i="29" s="1"/>
  <c r="AE494" i="12"/>
  <c r="AE507" i="12"/>
  <c r="O580" i="29" s="1"/>
  <c r="AE490" i="12"/>
  <c r="O565" i="29" s="1"/>
  <c r="AE457" i="12"/>
  <c r="O537" i="29" s="1"/>
  <c r="AE460" i="12"/>
  <c r="O540" i="29" s="1"/>
  <c r="AE434" i="12"/>
  <c r="O517" i="29" s="1"/>
  <c r="AE435" i="12"/>
  <c r="O518" i="29" s="1"/>
  <c r="AE481" i="12"/>
  <c r="O558" i="29" s="1"/>
  <c r="AE428" i="12"/>
  <c r="O512" i="29" s="1"/>
  <c r="AE427" i="12"/>
  <c r="O511" i="29" s="1"/>
  <c r="AE429" i="12"/>
  <c r="O513" i="29" s="1"/>
  <c r="AE383" i="12"/>
  <c r="O474" i="29" s="1"/>
  <c r="AE165" i="12"/>
  <c r="AE164" i="12"/>
  <c r="AE133" i="12"/>
  <c r="O776" i="29" s="1"/>
  <c r="AE132" i="12"/>
  <c r="O775" i="29" s="1"/>
  <c r="AE99" i="12"/>
  <c r="AE98" i="12"/>
  <c r="AE71" i="12"/>
  <c r="AE70" i="12"/>
  <c r="AE425" i="12"/>
  <c r="AE403" i="12"/>
  <c r="O491" i="29" s="1"/>
  <c r="AE143" i="12"/>
  <c r="AE109" i="12"/>
  <c r="AE81" i="12"/>
  <c r="AE450" i="12"/>
  <c r="O531" i="29" s="1"/>
  <c r="AE452" i="12"/>
  <c r="O533" i="29" s="1"/>
  <c r="AE166" i="12"/>
  <c r="AE141" i="12"/>
  <c r="AE153" i="12" s="1"/>
  <c r="O783" i="29" s="1"/>
  <c r="AE120" i="12"/>
  <c r="AE402" i="12"/>
  <c r="O490" i="29" s="1"/>
  <c r="AE72" i="12"/>
  <c r="K69" i="16"/>
  <c r="K63" i="16"/>
  <c r="K71" i="16" s="1"/>
  <c r="K182" i="18"/>
  <c r="K178" i="18"/>
  <c r="K188" i="18"/>
  <c r="K222" i="18"/>
  <c r="K220" i="18"/>
  <c r="K218" i="18"/>
  <c r="K215" i="18"/>
  <c r="K213" i="18"/>
  <c r="K199" i="18"/>
  <c r="K192" i="18"/>
  <c r="K196" i="18"/>
  <c r="K177" i="18"/>
  <c r="K172" i="18"/>
  <c r="K224" i="18"/>
  <c r="K223" i="18"/>
  <c r="K254" i="18"/>
  <c r="K253" i="18"/>
  <c r="K252" i="18"/>
  <c r="K250" i="18"/>
  <c r="K247" i="18"/>
  <c r="K246" i="18"/>
  <c r="K245" i="18"/>
  <c r="K244" i="18"/>
  <c r="K242" i="18"/>
  <c r="K239" i="18"/>
  <c r="K234" i="18"/>
  <c r="K236" i="18"/>
  <c r="K241" i="18"/>
  <c r="K240" i="18"/>
  <c r="K232" i="18"/>
  <c r="K231" i="18"/>
  <c r="K230" i="18"/>
  <c r="K229" i="18"/>
  <c r="K228" i="18"/>
  <c r="K226" i="18"/>
  <c r="K210" i="18"/>
  <c r="K208" i="18"/>
  <c r="K207" i="18"/>
  <c r="K205" i="18"/>
  <c r="K203" i="18"/>
  <c r="K201" i="18"/>
  <c r="K200" i="18"/>
  <c r="K197" i="18"/>
  <c r="K184" i="18"/>
  <c r="K167" i="18"/>
  <c r="K166" i="18"/>
  <c r="K163" i="18"/>
  <c r="K143" i="18"/>
  <c r="K145" i="18"/>
  <c r="K149" i="18"/>
  <c r="K153" i="18"/>
  <c r="K155" i="18"/>
  <c r="K161" i="18"/>
  <c r="J213" i="18"/>
  <c r="O245" i="29" s="1"/>
  <c r="J222" i="18"/>
  <c r="O254" i="29" s="1"/>
  <c r="J212" i="18"/>
  <c r="O244" i="29" s="1"/>
  <c r="J73" i="14"/>
  <c r="O92" i="29" s="1"/>
  <c r="O453" i="29" l="1"/>
  <c r="K453" i="29"/>
  <c r="I453" i="29"/>
  <c r="O414" i="29"/>
  <c r="K414" i="29"/>
  <c r="I414" i="29"/>
  <c r="O377" i="29"/>
  <c r="K377" i="29"/>
  <c r="I377" i="29"/>
  <c r="N392" i="29"/>
  <c r="J392" i="29"/>
  <c r="O372" i="29"/>
  <c r="K372" i="29"/>
  <c r="I372" i="29"/>
  <c r="O421" i="29"/>
  <c r="K421" i="29"/>
  <c r="I421" i="29"/>
  <c r="O415" i="29"/>
  <c r="K415" i="29"/>
  <c r="I415" i="29"/>
  <c r="O420" i="29"/>
  <c r="I420" i="29"/>
  <c r="K420" i="29"/>
  <c r="K403" i="29"/>
  <c r="I403" i="29"/>
  <c r="O437" i="29"/>
  <c r="K437" i="29"/>
  <c r="I437" i="29"/>
  <c r="O376" i="29"/>
  <c r="K376" i="29"/>
  <c r="I376" i="29"/>
  <c r="O373" i="29"/>
  <c r="K373" i="29"/>
  <c r="I373" i="29"/>
  <c r="K423" i="29"/>
  <c r="I423" i="29"/>
  <c r="I425" i="29"/>
  <c r="K425" i="29"/>
  <c r="O416" i="29"/>
  <c r="K416" i="29"/>
  <c r="I416" i="29"/>
  <c r="I426" i="29"/>
  <c r="K426" i="29"/>
  <c r="O515" i="29"/>
  <c r="O697" i="29"/>
  <c r="O429" i="29"/>
  <c r="K429" i="29"/>
  <c r="I429" i="29"/>
  <c r="O371" i="29"/>
  <c r="K371" i="29"/>
  <c r="I371" i="29"/>
  <c r="O382" i="29"/>
  <c r="K382" i="29"/>
  <c r="I382" i="29"/>
  <c r="K404" i="29"/>
  <c r="I404" i="29"/>
  <c r="O368" i="29"/>
  <c r="K368" i="29"/>
  <c r="I368" i="29"/>
  <c r="O726" i="29"/>
  <c r="O417" i="29"/>
  <c r="I417" i="29"/>
  <c r="K417" i="29"/>
  <c r="O447" i="29"/>
  <c r="K447" i="29"/>
  <c r="I447" i="29"/>
  <c r="O384" i="29"/>
  <c r="K384" i="29"/>
  <c r="I384" i="29"/>
  <c r="O385" i="29"/>
  <c r="K385" i="29"/>
  <c r="I385" i="29"/>
  <c r="O422" i="29"/>
  <c r="K422" i="29"/>
  <c r="I422" i="29"/>
  <c r="O445" i="29"/>
  <c r="K445" i="29"/>
  <c r="I445" i="29"/>
  <c r="O449" i="29"/>
  <c r="I449" i="29"/>
  <c r="K449" i="29"/>
  <c r="O439" i="29"/>
  <c r="K439" i="29"/>
  <c r="I439" i="29"/>
  <c r="O432" i="29"/>
  <c r="K432" i="29"/>
  <c r="I432" i="29"/>
  <c r="O418" i="29"/>
  <c r="I418" i="29"/>
  <c r="K418" i="29"/>
  <c r="O698" i="29"/>
  <c r="O383" i="29"/>
  <c r="K383" i="29"/>
  <c r="I383" i="29"/>
  <c r="O367" i="29"/>
  <c r="K367" i="29"/>
  <c r="I367" i="29"/>
  <c r="K406" i="29"/>
  <c r="I406" i="29"/>
  <c r="O572" i="29"/>
  <c r="O388" i="29"/>
  <c r="K388" i="29"/>
  <c r="I388" i="29"/>
  <c r="O369" i="29"/>
  <c r="K369" i="29"/>
  <c r="I369" i="29"/>
  <c r="O431" i="29"/>
  <c r="K431" i="29"/>
  <c r="I431" i="29"/>
  <c r="O446" i="29"/>
  <c r="K446" i="29"/>
  <c r="I446" i="29"/>
  <c r="O427" i="29"/>
  <c r="I427" i="29"/>
  <c r="K427" i="29"/>
  <c r="O440" i="29"/>
  <c r="K440" i="29"/>
  <c r="I440" i="29"/>
  <c r="O438" i="29"/>
  <c r="K438" i="29"/>
  <c r="I438" i="29"/>
  <c r="O433" i="29"/>
  <c r="I433" i="29"/>
  <c r="K433" i="29"/>
  <c r="O555" i="29"/>
  <c r="O424" i="29"/>
  <c r="K424" i="29"/>
  <c r="I424" i="29"/>
  <c r="O386" i="29"/>
  <c r="K386" i="29"/>
  <c r="I386" i="29"/>
  <c r="O370" i="29"/>
  <c r="K370" i="29"/>
  <c r="I370" i="29"/>
  <c r="O378" i="29"/>
  <c r="K378" i="29"/>
  <c r="I378" i="29"/>
  <c r="O428" i="29"/>
  <c r="I428" i="29"/>
  <c r="K428" i="29"/>
  <c r="O448" i="29"/>
  <c r="K448" i="29"/>
  <c r="I448" i="29"/>
  <c r="I444" i="29"/>
  <c r="K444" i="29"/>
  <c r="O434" i="29"/>
  <c r="I434" i="29"/>
  <c r="K434" i="29"/>
  <c r="K407" i="29"/>
  <c r="I407" i="29"/>
  <c r="O379" i="29"/>
  <c r="K379" i="29"/>
  <c r="I379" i="29"/>
  <c r="K408" i="29"/>
  <c r="I408" i="29"/>
  <c r="O430" i="29"/>
  <c r="K430" i="29"/>
  <c r="I430" i="29"/>
  <c r="I442" i="29"/>
  <c r="K442" i="29"/>
  <c r="O605" i="29"/>
  <c r="O436" i="29"/>
  <c r="I436" i="29"/>
  <c r="K436" i="29"/>
  <c r="O450" i="29"/>
  <c r="I450" i="29"/>
  <c r="K450" i="29"/>
  <c r="O419" i="29"/>
  <c r="I419" i="29"/>
  <c r="K419" i="29"/>
  <c r="O451" i="29"/>
  <c r="I451" i="29"/>
  <c r="K451" i="29"/>
  <c r="O380" i="29"/>
  <c r="K380" i="29"/>
  <c r="I380" i="29"/>
  <c r="O381" i="29"/>
  <c r="K381" i="29"/>
  <c r="I381" i="29"/>
  <c r="I405" i="29"/>
  <c r="K405" i="29"/>
  <c r="O454" i="29"/>
  <c r="K454" i="29"/>
  <c r="I454" i="29"/>
  <c r="O390" i="29"/>
  <c r="K390" i="29"/>
  <c r="I390" i="29"/>
  <c r="O374" i="29"/>
  <c r="K374" i="29"/>
  <c r="I374" i="29"/>
  <c r="O455" i="29"/>
  <c r="K455" i="29"/>
  <c r="I455" i="29"/>
  <c r="O441" i="29"/>
  <c r="I441" i="29"/>
  <c r="K441" i="29"/>
  <c r="O456" i="29"/>
  <c r="K456" i="29"/>
  <c r="I456" i="29"/>
  <c r="I443" i="29"/>
  <c r="K443" i="29"/>
  <c r="O452" i="29"/>
  <c r="I452" i="29"/>
  <c r="K452" i="29"/>
  <c r="O387" i="29"/>
  <c r="K387" i="29"/>
  <c r="I387" i="29"/>
  <c r="O389" i="29"/>
  <c r="K389" i="29"/>
  <c r="I389" i="29"/>
  <c r="O375" i="29"/>
  <c r="K375" i="29"/>
  <c r="I375" i="29"/>
  <c r="J812" i="29"/>
  <c r="H816" i="29"/>
  <c r="N811" i="29"/>
  <c r="L815" i="29"/>
  <c r="N812" i="29"/>
  <c r="H814" i="29"/>
  <c r="H861" i="29" s="1"/>
  <c r="L816" i="29"/>
  <c r="L814" i="29"/>
  <c r="L861" i="29" s="1"/>
  <c r="H815" i="29"/>
  <c r="L813" i="29"/>
  <c r="O556" i="29"/>
  <c r="O590" i="29"/>
  <c r="O756" i="29"/>
  <c r="O678" i="29"/>
  <c r="O648" i="29"/>
  <c r="O525" i="29"/>
  <c r="O586" i="29"/>
  <c r="O569" i="29"/>
  <c r="O544" i="29"/>
  <c r="O669" i="29"/>
  <c r="O577" i="29"/>
  <c r="O671" i="29"/>
  <c r="O579" i="29"/>
  <c r="O510" i="29"/>
  <c r="O673" i="29"/>
  <c r="O576" i="29"/>
  <c r="O661" i="29"/>
  <c r="O708" i="29"/>
  <c r="O482" i="29"/>
  <c r="O464" i="29"/>
  <c r="O679" i="29"/>
  <c r="O645" i="29"/>
  <c r="O737" i="29"/>
  <c r="O683" i="29"/>
  <c r="O759" i="29"/>
  <c r="O692" i="29"/>
  <c r="O694" i="29"/>
  <c r="O666" i="29"/>
  <c r="O634" i="29"/>
  <c r="O469" i="29"/>
  <c r="O757" i="29"/>
  <c r="O530" i="29"/>
  <c r="O406" i="29"/>
  <c r="M406" i="29"/>
  <c r="O552" i="29"/>
  <c r="O563" i="29"/>
  <c r="O465" i="29"/>
  <c r="O684" i="29"/>
  <c r="O762" i="29"/>
  <c r="O632" i="29"/>
  <c r="O483" i="29"/>
  <c r="O480" i="29"/>
  <c r="O732" i="29"/>
  <c r="O514" i="29"/>
  <c r="O616" i="29"/>
  <c r="O699" i="29"/>
  <c r="O573" i="29"/>
  <c r="O635" i="29"/>
  <c r="O471" i="29"/>
  <c r="O706" i="29"/>
  <c r="O748" i="29"/>
  <c r="O620" i="29"/>
  <c r="O695" i="29"/>
  <c r="O568" i="29"/>
  <c r="O591" i="29"/>
  <c r="O747" i="29"/>
  <c r="O709" i="29"/>
  <c r="O721" i="29"/>
  <c r="O536" i="29"/>
  <c r="O712" i="29"/>
  <c r="O754" i="29"/>
  <c r="O722" i="29"/>
  <c r="O687" i="29"/>
  <c r="O689" i="29"/>
  <c r="O649" i="29"/>
  <c r="O423" i="29"/>
  <c r="O734" i="29"/>
  <c r="O506" i="29"/>
  <c r="O686" i="29"/>
  <c r="O407" i="29"/>
  <c r="M407" i="29"/>
  <c r="O408" i="29"/>
  <c r="M408" i="29"/>
  <c r="O403" i="29"/>
  <c r="M403" i="29"/>
  <c r="O715" i="29"/>
  <c r="O633" i="29"/>
  <c r="O578" i="29"/>
  <c r="O742" i="29"/>
  <c r="O714" i="29"/>
  <c r="O519" i="29"/>
  <c r="O690" i="29"/>
  <c r="O442" i="29"/>
  <c r="O582" i="29"/>
  <c r="O724" i="29"/>
  <c r="O622" i="29"/>
  <c r="O730" i="29"/>
  <c r="O538" i="29"/>
  <c r="O718" i="29"/>
  <c r="O739" i="29"/>
  <c r="O741" i="29"/>
  <c r="O571" i="29"/>
  <c r="O733" i="29"/>
  <c r="O509" i="29"/>
  <c r="O610" i="29"/>
  <c r="O484" i="29"/>
  <c r="O755" i="29"/>
  <c r="O404" i="29"/>
  <c r="M404" i="29"/>
  <c r="O405" i="29"/>
  <c r="M405" i="29"/>
  <c r="O528" i="29"/>
  <c r="O727" i="29"/>
  <c r="O520" i="29"/>
  <c r="O696" i="29"/>
  <c r="O636" i="29"/>
  <c r="O716" i="29"/>
  <c r="O532" i="29"/>
  <c r="O479" i="29"/>
  <c r="O481" i="29"/>
  <c r="O473" i="29"/>
  <c r="O476" i="29"/>
  <c r="AE172" i="12"/>
  <c r="O789" i="29" s="1"/>
  <c r="AE729" i="12"/>
  <c r="O796" i="29" s="1"/>
  <c r="AE152" i="12"/>
  <c r="O782" i="29" s="1"/>
  <c r="O443" i="29"/>
  <c r="M443" i="29"/>
  <c r="AG376" i="12"/>
  <c r="O463" i="29"/>
  <c r="AF751" i="12"/>
  <c r="O444" i="29"/>
  <c r="M444" i="29"/>
  <c r="O425" i="29"/>
  <c r="M425" i="29"/>
  <c r="O426" i="29"/>
  <c r="M426" i="29"/>
  <c r="L201" i="18"/>
  <c r="O233" i="29"/>
  <c r="AH99" i="8"/>
  <c r="AJ398" i="8"/>
  <c r="J861" i="29"/>
  <c r="AI623" i="8"/>
  <c r="M379" i="29"/>
  <c r="M388" i="29"/>
  <c r="M462" i="29"/>
  <c r="M387" i="29"/>
  <c r="M389" i="29"/>
  <c r="M369" i="29"/>
  <c r="M375" i="29"/>
  <c r="M371" i="29"/>
  <c r="M380" i="29"/>
  <c r="M460" i="29"/>
  <c r="M459" i="29"/>
  <c r="M377" i="29"/>
  <c r="AI101" i="8"/>
  <c r="AI123" i="8" s="1"/>
  <c r="L392" i="29"/>
  <c r="L812" i="29" s="1"/>
  <c r="H392" i="29"/>
  <c r="H812" i="29" s="1"/>
  <c r="M386" i="29"/>
  <c r="M370" i="29"/>
  <c r="M378" i="29"/>
  <c r="M372" i="29"/>
  <c r="M383" i="29"/>
  <c r="M382" i="29"/>
  <c r="M381" i="29"/>
  <c r="M458" i="29"/>
  <c r="M368" i="29"/>
  <c r="M376" i="29"/>
  <c r="M373" i="29"/>
  <c r="M461" i="29"/>
  <c r="M457" i="29"/>
  <c r="M367" i="29"/>
  <c r="M384" i="29"/>
  <c r="M385" i="29"/>
  <c r="M390" i="29"/>
  <c r="M374" i="29"/>
  <c r="AE151" i="12"/>
  <c r="O781" i="29" s="1"/>
  <c r="AE746" i="12"/>
  <c r="O800" i="29" s="1"/>
  <c r="AE727" i="12"/>
  <c r="O794" i="29" s="1"/>
  <c r="AE750" i="12"/>
  <c r="O804" i="29" s="1"/>
  <c r="AE749" i="12"/>
  <c r="O803" i="29" s="1"/>
  <c r="AE173" i="12"/>
  <c r="O790" i="29" s="1"/>
  <c r="AF176" i="12"/>
  <c r="AE731" i="12"/>
  <c r="O798" i="29" s="1"/>
  <c r="AE128" i="12"/>
  <c r="M773" i="29" s="1"/>
  <c r="AE730" i="12"/>
  <c r="O797" i="29" s="1"/>
  <c r="AE747" i="12"/>
  <c r="O801" i="29" s="1"/>
  <c r="M423" i="29"/>
  <c r="M414" i="29"/>
  <c r="M438" i="29"/>
  <c r="M410" i="29"/>
  <c r="M455" i="29"/>
  <c r="M428" i="29"/>
  <c r="M453" i="29"/>
  <c r="M440" i="29"/>
  <c r="M420" i="29"/>
  <c r="M418" i="29"/>
  <c r="M429" i="29"/>
  <c r="M413" i="29"/>
  <c r="M424" i="29"/>
  <c r="M411" i="29"/>
  <c r="M419" i="29"/>
  <c r="M452" i="29"/>
  <c r="M437" i="29"/>
  <c r="M430" i="29"/>
  <c r="M442" i="29"/>
  <c r="AF130" i="12"/>
  <c r="M431" i="29"/>
  <c r="M422" i="29"/>
  <c r="M441" i="29"/>
  <c r="M416" i="29"/>
  <c r="M432" i="29"/>
  <c r="M456" i="29"/>
  <c r="M434" i="29"/>
  <c r="M454" i="29"/>
  <c r="M417" i="29"/>
  <c r="I772" i="29"/>
  <c r="K772" i="29"/>
  <c r="M436" i="29"/>
  <c r="AG495" i="12"/>
  <c r="AG586" i="12"/>
  <c r="AG474" i="12"/>
  <c r="AG698" i="12"/>
  <c r="AG537" i="12"/>
  <c r="AG418" i="12"/>
  <c r="AG635" i="12"/>
  <c r="AG397" i="12"/>
  <c r="M421" i="29"/>
  <c r="M409" i="29"/>
  <c r="AG523" i="12"/>
  <c r="AG600" i="12"/>
  <c r="AG411" i="12"/>
  <c r="M439" i="29"/>
  <c r="AG593" i="12"/>
  <c r="AG565" i="12"/>
  <c r="M446" i="29"/>
  <c r="AG439" i="12"/>
  <c r="M783" i="29"/>
  <c r="M776" i="29"/>
  <c r="AG705" i="12"/>
  <c r="AG446" i="12"/>
  <c r="AG61" i="12"/>
  <c r="AG551" i="12"/>
  <c r="AG453" i="12"/>
  <c r="AG544" i="12"/>
  <c r="AG628" i="12"/>
  <c r="AG621" i="12"/>
  <c r="N805" i="29"/>
  <c r="J769" i="29"/>
  <c r="J805" i="29" s="1"/>
  <c r="L769" i="29"/>
  <c r="L811" i="29" s="1"/>
  <c r="H769" i="29"/>
  <c r="H811" i="29" s="1"/>
  <c r="AG677" i="12"/>
  <c r="AG558" i="12"/>
  <c r="M772" i="29"/>
  <c r="M447" i="29"/>
  <c r="M445" i="29"/>
  <c r="AG103" i="12"/>
  <c r="M784" i="29"/>
  <c r="AG607" i="12"/>
  <c r="M427" i="29"/>
  <c r="AG82" i="12"/>
  <c r="M449" i="29"/>
  <c r="AG96" i="12"/>
  <c r="AG404" i="12"/>
  <c r="AG425" i="12"/>
  <c r="M789" i="29"/>
  <c r="AG432" i="12"/>
  <c r="AG383" i="12"/>
  <c r="M779" i="29"/>
  <c r="AG481" i="12"/>
  <c r="AG712" i="12"/>
  <c r="AG649" i="12"/>
  <c r="AG572" i="12"/>
  <c r="AG642" i="12"/>
  <c r="AG390" i="12"/>
  <c r="M451" i="29"/>
  <c r="AG110" i="12"/>
  <c r="AG516" i="12"/>
  <c r="AG460" i="12"/>
  <c r="AG656" i="12"/>
  <c r="AG670" i="12"/>
  <c r="AG509" i="12"/>
  <c r="AG75" i="12"/>
  <c r="M775" i="29"/>
  <c r="AG137" i="12"/>
  <c r="AG614" i="12"/>
  <c r="AG579" i="12"/>
  <c r="AG467" i="12"/>
  <c r="M415" i="29"/>
  <c r="AG68" i="12"/>
  <c r="M448" i="29"/>
  <c r="AG488" i="12"/>
  <c r="M450" i="29"/>
  <c r="M780" i="29"/>
  <c r="M777" i="29"/>
  <c r="M433" i="29"/>
  <c r="AG89" i="12"/>
  <c r="AG530" i="12"/>
  <c r="AG663" i="12"/>
  <c r="M778" i="29"/>
  <c r="AG691" i="12"/>
  <c r="AG502" i="12"/>
  <c r="AG684" i="12"/>
  <c r="AJ300" i="8"/>
  <c r="AJ517" i="8"/>
  <c r="AJ601" i="8"/>
  <c r="AJ524" i="8"/>
  <c r="AJ503" i="8"/>
  <c r="AJ559" i="8"/>
  <c r="AJ56" i="8"/>
  <c r="AJ426" i="8"/>
  <c r="AJ314" i="8"/>
  <c r="AJ496" i="8"/>
  <c r="AJ440" i="8"/>
  <c r="AJ580" i="8"/>
  <c r="AJ122" i="8"/>
  <c r="AJ335" i="8"/>
  <c r="AJ419" i="8"/>
  <c r="AJ49" i="8"/>
  <c r="AL49" i="8" s="1"/>
  <c r="AJ587" i="8"/>
  <c r="AJ307" i="8"/>
  <c r="AJ363" i="8"/>
  <c r="AJ391" i="8"/>
  <c r="AJ594" i="8"/>
  <c r="AJ538" i="8"/>
  <c r="AJ130" i="8"/>
  <c r="AJ63" i="8"/>
  <c r="AJ433" i="8"/>
  <c r="AJ70" i="8"/>
  <c r="AJ115" i="8"/>
  <c r="AL115" i="8" s="1"/>
  <c r="AJ405" i="8"/>
  <c r="AJ454" i="8"/>
  <c r="AJ108" i="8"/>
  <c r="AJ573" i="8"/>
  <c r="AJ482" i="8"/>
  <c r="AJ510" i="8"/>
  <c r="AJ370" i="8"/>
  <c r="AJ545" i="8"/>
  <c r="AJ475" i="8"/>
  <c r="AJ384" i="8"/>
  <c r="AJ531" i="8"/>
  <c r="AJ412" i="8"/>
  <c r="AJ468" i="8"/>
  <c r="AJ615" i="8"/>
  <c r="AJ552" i="8"/>
  <c r="AJ608" i="8"/>
  <c r="AJ293" i="8"/>
  <c r="AJ349" i="8"/>
  <c r="AJ377" i="8"/>
  <c r="AJ489" i="8"/>
  <c r="AJ566" i="8"/>
  <c r="AJ622" i="8"/>
  <c r="AJ356" i="8"/>
  <c r="AJ342" i="8"/>
  <c r="AJ328" i="8"/>
  <c r="AJ447" i="8"/>
  <c r="AJ461" i="8"/>
  <c r="AJ321" i="8"/>
  <c r="AH100" i="8"/>
  <c r="AH101" i="8"/>
  <c r="AE129" i="12"/>
  <c r="O774" i="29" s="1"/>
  <c r="AE726" i="12"/>
  <c r="O793" i="29" s="1"/>
  <c r="AE745" i="12"/>
  <c r="O799" i="29" s="1"/>
  <c r="AE728" i="12"/>
  <c r="O795" i="29" s="1"/>
  <c r="AE748" i="12"/>
  <c r="O802" i="29" s="1"/>
  <c r="AE155" i="12"/>
  <c r="O785" i="29" s="1"/>
  <c r="AH98" i="8"/>
  <c r="AH97" i="8"/>
  <c r="AH96" i="8"/>
  <c r="AE126" i="12"/>
  <c r="O771" i="29" s="1"/>
  <c r="AE156" i="12"/>
  <c r="O786" i="29" s="1"/>
  <c r="AE170" i="12"/>
  <c r="O787" i="29" s="1"/>
  <c r="AE124" i="12"/>
  <c r="O769" i="29" s="1"/>
  <c r="AE171" i="12"/>
  <c r="O788" i="29" s="1"/>
  <c r="AE175" i="12"/>
  <c r="O792" i="29" s="1"/>
  <c r="AE174" i="12"/>
  <c r="O791" i="29" s="1"/>
  <c r="AE125" i="12"/>
  <c r="O770" i="29" s="1"/>
  <c r="K255" i="18"/>
  <c r="K394" i="29" l="1"/>
  <c r="I394" i="29"/>
  <c r="K814" i="29"/>
  <c r="K861" i="29" s="1"/>
  <c r="I814" i="29"/>
  <c r="O391" i="29"/>
  <c r="O811" i="29" s="1"/>
  <c r="K391" i="29"/>
  <c r="I391" i="29"/>
  <c r="O392" i="29"/>
  <c r="K392" i="29"/>
  <c r="I392" i="29"/>
  <c r="O396" i="29"/>
  <c r="K396" i="29"/>
  <c r="I396" i="29"/>
  <c r="O393" i="29"/>
  <c r="K393" i="29"/>
  <c r="I393" i="29"/>
  <c r="O395" i="29"/>
  <c r="K395" i="29"/>
  <c r="I395" i="29"/>
  <c r="O812" i="29"/>
  <c r="O813" i="29"/>
  <c r="O816" i="29"/>
  <c r="J811" i="29"/>
  <c r="J817" i="29" s="1"/>
  <c r="O394" i="29"/>
  <c r="M782" i="29"/>
  <c r="M790" i="29"/>
  <c r="M781" i="29"/>
  <c r="K773" i="29"/>
  <c r="K815" i="29" s="1"/>
  <c r="O773" i="29"/>
  <c r="O815" i="29" s="1"/>
  <c r="L806" i="29"/>
  <c r="L805" i="29"/>
  <c r="L817" i="29"/>
  <c r="H805" i="29"/>
  <c r="M394" i="29"/>
  <c r="M814" i="29" s="1"/>
  <c r="I861" i="29"/>
  <c r="M395" i="29"/>
  <c r="M392" i="29"/>
  <c r="M396" i="29"/>
  <c r="M391" i="29"/>
  <c r="M393" i="29"/>
  <c r="AJ623" i="8"/>
  <c r="I773" i="29"/>
  <c r="I815" i="29" s="1"/>
  <c r="J806" i="29"/>
  <c r="N806" i="29"/>
  <c r="H806" i="29"/>
  <c r="K769" i="29"/>
  <c r="K811" i="29" s="1"/>
  <c r="I769" i="29"/>
  <c r="I811" i="29" s="1"/>
  <c r="K774" i="29"/>
  <c r="K816" i="29" s="1"/>
  <c r="I774" i="29"/>
  <c r="I816" i="29" s="1"/>
  <c r="K771" i="29"/>
  <c r="K813" i="29" s="1"/>
  <c r="I771" i="29"/>
  <c r="I813" i="29" s="1"/>
  <c r="K770" i="29"/>
  <c r="K812" i="29" s="1"/>
  <c r="I770" i="29"/>
  <c r="I812" i="29" s="1"/>
  <c r="H817" i="29"/>
  <c r="N817" i="29"/>
  <c r="AG750" i="12"/>
  <c r="M788" i="29"/>
  <c r="AG731" i="12"/>
  <c r="AG751" i="12" s="1"/>
  <c r="M770" i="29"/>
  <c r="M769" i="29"/>
  <c r="AG129" i="12"/>
  <c r="AG130" i="12" s="1"/>
  <c r="M774" i="29"/>
  <c r="M787" i="29"/>
  <c r="AG175" i="12"/>
  <c r="M786" i="29"/>
  <c r="M791" i="29"/>
  <c r="M792" i="29"/>
  <c r="M771" i="29"/>
  <c r="M785" i="29"/>
  <c r="AG156" i="12"/>
  <c r="AJ101" i="8"/>
  <c r="K114" i="14"/>
  <c r="K122" i="14"/>
  <c r="K109" i="14"/>
  <c r="K106" i="14"/>
  <c r="K103" i="14"/>
  <c r="K100" i="14"/>
  <c r="K94" i="14"/>
  <c r="K88" i="14"/>
  <c r="K86" i="14"/>
  <c r="K84" i="14"/>
  <c r="J122" i="14"/>
  <c r="O143" i="29" s="1"/>
  <c r="J121" i="14"/>
  <c r="O142" i="29" s="1"/>
  <c r="J120" i="14"/>
  <c r="O141" i="29" s="1"/>
  <c r="J119" i="14"/>
  <c r="O140" i="29" s="1"/>
  <c r="J118" i="14"/>
  <c r="O139" i="29" s="1"/>
  <c r="J117" i="14"/>
  <c r="O138" i="29" s="1"/>
  <c r="J116" i="14"/>
  <c r="O137" i="29" s="1"/>
  <c r="J115" i="14"/>
  <c r="O136" i="29" s="1"/>
  <c r="J114" i="14"/>
  <c r="O135" i="29" s="1"/>
  <c r="J113" i="14"/>
  <c r="O134" i="29" s="1"/>
  <c r="J112" i="14"/>
  <c r="O133" i="29" s="1"/>
  <c r="J111" i="14"/>
  <c r="O132" i="29" s="1"/>
  <c r="J110" i="14"/>
  <c r="O131" i="29" s="1"/>
  <c r="O130" i="29"/>
  <c r="O129" i="29"/>
  <c r="O128" i="29"/>
  <c r="O126" i="29"/>
  <c r="O125" i="29"/>
  <c r="O124" i="29"/>
  <c r="J103" i="14"/>
  <c r="O122" i="29" s="1"/>
  <c r="J102" i="14"/>
  <c r="O121" i="29" s="1"/>
  <c r="J101" i="14"/>
  <c r="O120" i="29" s="1"/>
  <c r="J100" i="14"/>
  <c r="O119" i="29" s="1"/>
  <c r="J99" i="14"/>
  <c r="O118" i="29" s="1"/>
  <c r="J98" i="14"/>
  <c r="O117" i="29" s="1"/>
  <c r="J97" i="14"/>
  <c r="O116" i="29" s="1"/>
  <c r="J96" i="14"/>
  <c r="O115" i="29" s="1"/>
  <c r="J95" i="14"/>
  <c r="O114" i="29" s="1"/>
  <c r="J94" i="14"/>
  <c r="O113" i="29" s="1"/>
  <c r="J93" i="14"/>
  <c r="O112" i="29" s="1"/>
  <c r="J92" i="14"/>
  <c r="O111" i="29" s="1"/>
  <c r="J91" i="14"/>
  <c r="O110" i="29" s="1"/>
  <c r="J90" i="14"/>
  <c r="O109" i="29" s="1"/>
  <c r="J89" i="14"/>
  <c r="O108" i="29" s="1"/>
  <c r="J88" i="14"/>
  <c r="O107" i="29" s="1"/>
  <c r="J87" i="14"/>
  <c r="O106" i="29" s="1"/>
  <c r="J86" i="14"/>
  <c r="O105" i="29" s="1"/>
  <c r="J85" i="14"/>
  <c r="O104" i="29" s="1"/>
  <c r="J84" i="14"/>
  <c r="O103" i="29" s="1"/>
  <c r="J83" i="14"/>
  <c r="O102" i="29" s="1"/>
  <c r="J82" i="14"/>
  <c r="O101" i="29" s="1"/>
  <c r="J81" i="14"/>
  <c r="O100" i="29" s="1"/>
  <c r="J80" i="14"/>
  <c r="O99" i="29" s="1"/>
  <c r="J79" i="14"/>
  <c r="O98" i="29" s="1"/>
  <c r="J78" i="14"/>
  <c r="O97" i="29" s="1"/>
  <c r="J77" i="14"/>
  <c r="O96" i="29" s="1"/>
  <c r="J76" i="14"/>
  <c r="O95" i="29" s="1"/>
  <c r="J75" i="14"/>
  <c r="O94" i="29" s="1"/>
  <c r="J74" i="14"/>
  <c r="O93" i="29" s="1"/>
  <c r="O323" i="29" l="1"/>
  <c r="O834" i="29" s="1"/>
  <c r="O336" i="29"/>
  <c r="O847" i="29" s="1"/>
  <c r="O345" i="29"/>
  <c r="O856" i="29" s="1"/>
  <c r="O333" i="29"/>
  <c r="O844" i="29" s="1"/>
  <c r="M812" i="29"/>
  <c r="M813" i="29"/>
  <c r="M816" i="29"/>
  <c r="M811" i="29"/>
  <c r="M815" i="29"/>
  <c r="O814" i="29"/>
  <c r="AJ123" i="8"/>
  <c r="AL101" i="8"/>
  <c r="M861" i="29"/>
  <c r="L28" i="7"/>
  <c r="N44" i="29"/>
  <c r="N354" i="29" s="1"/>
  <c r="N866" i="29" s="1"/>
  <c r="L44" i="29"/>
  <c r="L354" i="29" s="1"/>
  <c r="L866" i="29" s="1"/>
  <c r="J44" i="29"/>
  <c r="J354" i="29" s="1"/>
  <c r="J866" i="29" s="1"/>
  <c r="H44" i="29"/>
  <c r="H354" i="29" s="1"/>
  <c r="H866" i="29" s="1"/>
  <c r="M28" i="7"/>
  <c r="M44" i="29"/>
  <c r="M354" i="29" s="1"/>
  <c r="M866" i="29" s="1"/>
  <c r="K44" i="29"/>
  <c r="K354" i="29" s="1"/>
  <c r="K866" i="29" s="1"/>
  <c r="I44" i="29"/>
  <c r="I354" i="29" s="1"/>
  <c r="I866" i="29" s="1"/>
  <c r="O44" i="29"/>
  <c r="I805" i="29"/>
  <c r="AG176" i="12"/>
  <c r="K805" i="29"/>
  <c r="K806" i="29"/>
  <c r="I806" i="29"/>
  <c r="O805" i="29"/>
  <c r="M805" i="29"/>
  <c r="L86" i="14"/>
  <c r="L122" i="14"/>
  <c r="L106" i="14"/>
  <c r="L109" i="14"/>
  <c r="K123" i="14"/>
  <c r="L84" i="14"/>
  <c r="L94" i="14"/>
  <c r="L100" i="14"/>
  <c r="L120" i="14"/>
  <c r="L88" i="14"/>
  <c r="L103" i="14"/>
  <c r="L114" i="14"/>
  <c r="Z29" i="19"/>
  <c r="Y29" i="19"/>
  <c r="Y28" i="19"/>
  <c r="Z28" i="19" s="1"/>
  <c r="Z27" i="19"/>
  <c r="Y27" i="19"/>
  <c r="Z26" i="19"/>
  <c r="Y26" i="19"/>
  <c r="Z23" i="19"/>
  <c r="Y23" i="19"/>
  <c r="Y22" i="19"/>
  <c r="Z22" i="19" s="1"/>
  <c r="Z21" i="19"/>
  <c r="Y21" i="19"/>
  <c r="Z20" i="19"/>
  <c r="Y20" i="19"/>
  <c r="Y24" i="19" l="1"/>
  <c r="O806" i="29"/>
  <c r="O861" i="29"/>
  <c r="M806" i="29"/>
  <c r="I817" i="29"/>
  <c r="K817" i="29"/>
  <c r="M817" i="29"/>
  <c r="O817" i="29"/>
  <c r="L123" i="14"/>
  <c r="Y30" i="19"/>
  <c r="Z24" i="19"/>
  <c r="Z30" i="19"/>
  <c r="Z47" i="13"/>
  <c r="Y47" i="13"/>
  <c r="Y46" i="13"/>
  <c r="Z46" i="13" s="1"/>
  <c r="Z45" i="13"/>
  <c r="Y45" i="13"/>
  <c r="Z44" i="13"/>
  <c r="Y44" i="13"/>
  <c r="AB30" i="19" l="1"/>
  <c r="O306" i="29"/>
  <c r="AB24" i="19"/>
  <c r="AB31" i="19" s="1"/>
  <c r="O305" i="29"/>
  <c r="AA30" i="19"/>
  <c r="N306" i="29"/>
  <c r="AA24" i="19"/>
  <c r="AA31" i="19" s="1"/>
  <c r="N305" i="29"/>
  <c r="Y48" i="13"/>
  <c r="Z48" i="13"/>
  <c r="K33" i="9"/>
  <c r="L33" i="9" s="1"/>
  <c r="K30" i="9"/>
  <c r="L30" i="9" s="1"/>
  <c r="J48" i="6"/>
  <c r="I48" i="6"/>
  <c r="J47" i="6"/>
  <c r="I47" i="6"/>
  <c r="J45" i="6"/>
  <c r="I45" i="6"/>
  <c r="K45" i="6" s="1"/>
  <c r="J43" i="6"/>
  <c r="L43" i="6" s="1"/>
  <c r="I43" i="6"/>
  <c r="J41" i="6"/>
  <c r="I41" i="6"/>
  <c r="K41" i="6" s="1"/>
  <c r="J39" i="6"/>
  <c r="L39" i="6" s="1"/>
  <c r="I39" i="6"/>
  <c r="J37" i="6"/>
  <c r="I37" i="6"/>
  <c r="J35" i="6"/>
  <c r="L35" i="6" s="1"/>
  <c r="I35" i="6"/>
  <c r="J30" i="6"/>
  <c r="J33" i="6" s="1"/>
  <c r="I30" i="6"/>
  <c r="I33" i="6" s="1"/>
  <c r="J29" i="6"/>
  <c r="J32" i="6" s="1"/>
  <c r="I29" i="6"/>
  <c r="I32" i="6" s="1"/>
  <c r="J28" i="6"/>
  <c r="J31" i="6" s="1"/>
  <c r="I28" i="6"/>
  <c r="I31" i="6" s="1"/>
  <c r="J26" i="6"/>
  <c r="I26" i="6"/>
  <c r="J24" i="6"/>
  <c r="I24" i="6"/>
  <c r="K59" i="5"/>
  <c r="N59" i="5" s="1"/>
  <c r="J59" i="5"/>
  <c r="M59" i="5" s="1"/>
  <c r="K58" i="5"/>
  <c r="N58" i="5" s="1"/>
  <c r="J58" i="5"/>
  <c r="M58" i="5" s="1"/>
  <c r="K57" i="5"/>
  <c r="N57" i="5" s="1"/>
  <c r="J57" i="5"/>
  <c r="M57" i="5" s="1"/>
  <c r="M61" i="5" s="1"/>
  <c r="K56" i="5"/>
  <c r="N56" i="5" s="1"/>
  <c r="N60" i="5" s="1"/>
  <c r="J56" i="5"/>
  <c r="M56" i="5" s="1"/>
  <c r="M60" i="5" s="1"/>
  <c r="K52" i="5"/>
  <c r="N52" i="5" s="1"/>
  <c r="J52" i="5"/>
  <c r="M52" i="5" s="1"/>
  <c r="K51" i="5"/>
  <c r="N51" i="5" s="1"/>
  <c r="J51" i="5"/>
  <c r="M51" i="5" s="1"/>
  <c r="K50" i="5"/>
  <c r="N50" i="5" s="1"/>
  <c r="J50" i="5"/>
  <c r="M50" i="5" s="1"/>
  <c r="M54" i="5" s="1"/>
  <c r="K49" i="5"/>
  <c r="N49" i="5" s="1"/>
  <c r="N53" i="5" s="1"/>
  <c r="J49" i="5"/>
  <c r="K45" i="5"/>
  <c r="N45" i="5" s="1"/>
  <c r="J45" i="5"/>
  <c r="M45" i="5" s="1"/>
  <c r="K44" i="5"/>
  <c r="N44" i="5" s="1"/>
  <c r="J44" i="5"/>
  <c r="M44" i="5" s="1"/>
  <c r="K43" i="5"/>
  <c r="N43" i="5" s="1"/>
  <c r="J43" i="5"/>
  <c r="M43" i="5" s="1"/>
  <c r="K42" i="5"/>
  <c r="N42" i="5" s="1"/>
  <c r="J42" i="5"/>
  <c r="M42" i="5" s="1"/>
  <c r="K41" i="5"/>
  <c r="N41" i="5" s="1"/>
  <c r="J41" i="5"/>
  <c r="M41" i="5" s="1"/>
  <c r="K40" i="5"/>
  <c r="N40" i="5" s="1"/>
  <c r="J40" i="5"/>
  <c r="M40" i="5" s="1"/>
  <c r="K39" i="5"/>
  <c r="N39" i="5" s="1"/>
  <c r="J39" i="5"/>
  <c r="M39" i="5" s="1"/>
  <c r="K38" i="5"/>
  <c r="N38" i="5" s="1"/>
  <c r="J38" i="5"/>
  <c r="M38" i="5" s="1"/>
  <c r="K37" i="5"/>
  <c r="N37" i="5" s="1"/>
  <c r="J37" i="5"/>
  <c r="M37" i="5" s="1"/>
  <c r="K36" i="5"/>
  <c r="N36" i="5" s="1"/>
  <c r="J36" i="5"/>
  <c r="M36" i="5" s="1"/>
  <c r="K35" i="5"/>
  <c r="N35" i="5" s="1"/>
  <c r="J35" i="5"/>
  <c r="M35" i="5" s="1"/>
  <c r="K34" i="5"/>
  <c r="N34" i="5" s="1"/>
  <c r="J34" i="5"/>
  <c r="M34" i="5" s="1"/>
  <c r="M46" i="5" s="1"/>
  <c r="K30" i="5"/>
  <c r="N30" i="5" s="1"/>
  <c r="J30" i="5"/>
  <c r="M30" i="5" s="1"/>
  <c r="K29" i="5"/>
  <c r="N29" i="5" s="1"/>
  <c r="J29" i="5"/>
  <c r="M29" i="5" s="1"/>
  <c r="K28" i="5"/>
  <c r="N28" i="5" s="1"/>
  <c r="J28" i="5"/>
  <c r="M28" i="5" s="1"/>
  <c r="K27" i="5"/>
  <c r="N27" i="5" s="1"/>
  <c r="J27" i="5"/>
  <c r="M27" i="5" s="1"/>
  <c r="K26" i="5"/>
  <c r="N26" i="5" s="1"/>
  <c r="J26" i="5"/>
  <c r="M26" i="5" s="1"/>
  <c r="K25" i="5"/>
  <c r="N25" i="5" s="1"/>
  <c r="J25" i="5"/>
  <c r="M25" i="5" s="1"/>
  <c r="K24" i="5"/>
  <c r="N24" i="5" s="1"/>
  <c r="J24" i="5"/>
  <c r="M24" i="5" s="1"/>
  <c r="K23" i="5"/>
  <c r="N23" i="5" s="1"/>
  <c r="J23" i="5"/>
  <c r="M23" i="5" s="1"/>
  <c r="M31" i="5" s="1"/>
  <c r="O142" i="4"/>
  <c r="R142" i="4" s="1"/>
  <c r="N142" i="4"/>
  <c r="Q142" i="4" s="1"/>
  <c r="O141" i="4"/>
  <c r="R141" i="4" s="1"/>
  <c r="N141" i="4"/>
  <c r="Q141" i="4" s="1"/>
  <c r="O140" i="4"/>
  <c r="R140" i="4" s="1"/>
  <c r="N140" i="4"/>
  <c r="Q140" i="4" s="1"/>
  <c r="O139" i="4"/>
  <c r="R139" i="4" s="1"/>
  <c r="N139" i="4"/>
  <c r="Q139" i="4" s="1"/>
  <c r="O138" i="4"/>
  <c r="R138" i="4" s="1"/>
  <c r="N138" i="4"/>
  <c r="Q138" i="4" s="1"/>
  <c r="O137" i="4"/>
  <c r="R137" i="4" s="1"/>
  <c r="N137" i="4"/>
  <c r="Q137" i="4" s="1"/>
  <c r="O136" i="4"/>
  <c r="R136" i="4" s="1"/>
  <c r="N136" i="4"/>
  <c r="Q136" i="4" s="1"/>
  <c r="J136" i="4"/>
  <c r="O126" i="4"/>
  <c r="R126" i="4" s="1"/>
  <c r="R134" i="4" s="1"/>
  <c r="N126" i="4"/>
  <c r="Q126" i="4" s="1"/>
  <c r="Q134" i="4" s="1"/>
  <c r="O125" i="4"/>
  <c r="R125" i="4" s="1"/>
  <c r="R133" i="4" s="1"/>
  <c r="N125" i="4"/>
  <c r="Q125" i="4" s="1"/>
  <c r="Q133" i="4" s="1"/>
  <c r="O124" i="4"/>
  <c r="R124" i="4" s="1"/>
  <c r="N124" i="4"/>
  <c r="Q124" i="4" s="1"/>
  <c r="O123" i="4"/>
  <c r="R123" i="4" s="1"/>
  <c r="N123" i="4"/>
  <c r="Q123" i="4" s="1"/>
  <c r="R122" i="4"/>
  <c r="N122" i="4"/>
  <c r="Q122" i="4" s="1"/>
  <c r="J122" i="4"/>
  <c r="O121" i="4"/>
  <c r="R121" i="4" s="1"/>
  <c r="N121" i="4"/>
  <c r="Q121" i="4" s="1"/>
  <c r="J121" i="4"/>
  <c r="O120" i="4"/>
  <c r="R120" i="4" s="1"/>
  <c r="R131" i="4" s="1"/>
  <c r="N120" i="4"/>
  <c r="Q120" i="4" s="1"/>
  <c r="Q131" i="4" s="1"/>
  <c r="O119" i="4"/>
  <c r="R119" i="4" s="1"/>
  <c r="N119" i="4"/>
  <c r="Q119" i="4" s="1"/>
  <c r="O118" i="4"/>
  <c r="R118" i="4" s="1"/>
  <c r="N118" i="4"/>
  <c r="Q118" i="4" s="1"/>
  <c r="O117" i="4"/>
  <c r="R117" i="4" s="1"/>
  <c r="N117" i="4"/>
  <c r="Q117" i="4" s="1"/>
  <c r="J117" i="4"/>
  <c r="O116" i="4"/>
  <c r="R116" i="4" s="1"/>
  <c r="R130" i="4" s="1"/>
  <c r="N116" i="4"/>
  <c r="Q116" i="4" s="1"/>
  <c r="Q130" i="4" s="1"/>
  <c r="O115" i="4"/>
  <c r="R115" i="4" s="1"/>
  <c r="N115" i="4"/>
  <c r="Q115" i="4" s="1"/>
  <c r="O114" i="4"/>
  <c r="R114" i="4" s="1"/>
  <c r="R128" i="4" s="1"/>
  <c r="N114" i="4"/>
  <c r="Q114" i="4" s="1"/>
  <c r="Q128" i="4" s="1"/>
  <c r="O113" i="4"/>
  <c r="R113" i="4" s="1"/>
  <c r="N113" i="4"/>
  <c r="Q113" i="4" s="1"/>
  <c r="J113" i="4"/>
  <c r="O104" i="4"/>
  <c r="R104" i="4" s="1"/>
  <c r="N104" i="4"/>
  <c r="Q104" i="4" s="1"/>
  <c r="O103" i="4"/>
  <c r="R103" i="4" s="1"/>
  <c r="N103" i="4"/>
  <c r="Q103" i="4" s="1"/>
  <c r="O102" i="4"/>
  <c r="R102" i="4" s="1"/>
  <c r="N102" i="4"/>
  <c r="Q102" i="4" s="1"/>
  <c r="O101" i="4"/>
  <c r="R101" i="4" s="1"/>
  <c r="N101" i="4"/>
  <c r="Q101" i="4" s="1"/>
  <c r="O100" i="4"/>
  <c r="R100" i="4" s="1"/>
  <c r="N100" i="4"/>
  <c r="Q100" i="4" s="1"/>
  <c r="O99" i="4"/>
  <c r="R99" i="4" s="1"/>
  <c r="N99" i="4"/>
  <c r="Q99" i="4" s="1"/>
  <c r="O98" i="4"/>
  <c r="R98" i="4" s="1"/>
  <c r="N98" i="4"/>
  <c r="Q98" i="4" s="1"/>
  <c r="J98" i="4"/>
  <c r="O97" i="4"/>
  <c r="R97" i="4" s="1"/>
  <c r="N97" i="4"/>
  <c r="Q97" i="4" s="1"/>
  <c r="O96" i="4"/>
  <c r="R96" i="4" s="1"/>
  <c r="N96" i="4"/>
  <c r="Q96" i="4" s="1"/>
  <c r="O95" i="4"/>
  <c r="R95" i="4" s="1"/>
  <c r="N95" i="4"/>
  <c r="Q95" i="4" s="1"/>
  <c r="O94" i="4"/>
  <c r="R94" i="4" s="1"/>
  <c r="N94" i="4"/>
  <c r="Q94" i="4" s="1"/>
  <c r="O93" i="4"/>
  <c r="R93" i="4" s="1"/>
  <c r="N93" i="4"/>
  <c r="Q93" i="4" s="1"/>
  <c r="O92" i="4"/>
  <c r="R92" i="4" s="1"/>
  <c r="N92" i="4"/>
  <c r="Q92" i="4" s="1"/>
  <c r="Q106" i="4" s="1"/>
  <c r="O91" i="4"/>
  <c r="R91" i="4" s="1"/>
  <c r="N91" i="4"/>
  <c r="Q91" i="4" s="1"/>
  <c r="J91" i="4"/>
  <c r="O82" i="4"/>
  <c r="R82" i="4" s="1"/>
  <c r="N82" i="4"/>
  <c r="Q82" i="4" s="1"/>
  <c r="O81" i="4"/>
  <c r="R81" i="4" s="1"/>
  <c r="N81" i="4"/>
  <c r="Q81" i="4" s="1"/>
  <c r="O80" i="4"/>
  <c r="R80" i="4" s="1"/>
  <c r="N80" i="4"/>
  <c r="Q80" i="4" s="1"/>
  <c r="O79" i="4"/>
  <c r="R79" i="4" s="1"/>
  <c r="N79" i="4"/>
  <c r="Q79" i="4" s="1"/>
  <c r="O78" i="4"/>
  <c r="R78" i="4" s="1"/>
  <c r="N78" i="4"/>
  <c r="Q78" i="4" s="1"/>
  <c r="O77" i="4"/>
  <c r="R77" i="4" s="1"/>
  <c r="N77" i="4"/>
  <c r="Q77" i="4" s="1"/>
  <c r="O76" i="4"/>
  <c r="R76" i="4" s="1"/>
  <c r="N76" i="4"/>
  <c r="Q76" i="4" s="1"/>
  <c r="J76" i="4"/>
  <c r="O75" i="4"/>
  <c r="R75" i="4" s="1"/>
  <c r="N75" i="4"/>
  <c r="Q75" i="4" s="1"/>
  <c r="O74" i="4"/>
  <c r="R74" i="4" s="1"/>
  <c r="N74" i="4"/>
  <c r="Q74" i="4" s="1"/>
  <c r="O73" i="4"/>
  <c r="R73" i="4" s="1"/>
  <c r="N73" i="4"/>
  <c r="Q73" i="4" s="1"/>
  <c r="J73" i="4"/>
  <c r="O72" i="4"/>
  <c r="R72" i="4" s="1"/>
  <c r="N72" i="4"/>
  <c r="Q72" i="4" s="1"/>
  <c r="O71" i="4"/>
  <c r="R71" i="4" s="1"/>
  <c r="N71" i="4"/>
  <c r="Q71" i="4" s="1"/>
  <c r="O70" i="4"/>
  <c r="R70" i="4" s="1"/>
  <c r="N70" i="4"/>
  <c r="Q70" i="4" s="1"/>
  <c r="O69" i="4"/>
  <c r="R69" i="4" s="1"/>
  <c r="N69" i="4"/>
  <c r="Q69" i="4" s="1"/>
  <c r="O68" i="4"/>
  <c r="R68" i="4" s="1"/>
  <c r="N68" i="4"/>
  <c r="Q68" i="4" s="1"/>
  <c r="O67" i="4"/>
  <c r="R67" i="4" s="1"/>
  <c r="N67" i="4"/>
  <c r="Q67" i="4" s="1"/>
  <c r="O66" i="4"/>
  <c r="R66" i="4" s="1"/>
  <c r="N66" i="4"/>
  <c r="Q66" i="4" s="1"/>
  <c r="J66" i="4"/>
  <c r="O65" i="4"/>
  <c r="R65" i="4" s="1"/>
  <c r="N65" i="4"/>
  <c r="Q65" i="4" s="1"/>
  <c r="O64" i="4"/>
  <c r="R64" i="4" s="1"/>
  <c r="N64" i="4"/>
  <c r="Q64" i="4" s="1"/>
  <c r="O63" i="4"/>
  <c r="R63" i="4" s="1"/>
  <c r="N63" i="4"/>
  <c r="Q63" i="4" s="1"/>
  <c r="O62" i="4"/>
  <c r="R62" i="4" s="1"/>
  <c r="N62" i="4"/>
  <c r="Q62" i="4" s="1"/>
  <c r="O61" i="4"/>
  <c r="R61" i="4" s="1"/>
  <c r="N61" i="4"/>
  <c r="Q61" i="4" s="1"/>
  <c r="O60" i="4"/>
  <c r="R60" i="4" s="1"/>
  <c r="N60" i="4"/>
  <c r="Q60" i="4" s="1"/>
  <c r="O59" i="4"/>
  <c r="R59" i="4" s="1"/>
  <c r="N59" i="4"/>
  <c r="Q59" i="4" s="1"/>
  <c r="J59" i="4"/>
  <c r="O58" i="4"/>
  <c r="R58" i="4" s="1"/>
  <c r="N58" i="4"/>
  <c r="Q58" i="4" s="1"/>
  <c r="O57" i="4"/>
  <c r="R57" i="4" s="1"/>
  <c r="N57" i="4"/>
  <c r="Q57" i="4" s="1"/>
  <c r="O56" i="4"/>
  <c r="R56" i="4" s="1"/>
  <c r="N56" i="4"/>
  <c r="Q56" i="4" s="1"/>
  <c r="O55" i="4"/>
  <c r="R55" i="4" s="1"/>
  <c r="N55" i="4"/>
  <c r="Q55" i="4" s="1"/>
  <c r="O54" i="4"/>
  <c r="R54" i="4" s="1"/>
  <c r="N54" i="4"/>
  <c r="Q54" i="4" s="1"/>
  <c r="O53" i="4"/>
  <c r="R53" i="4" s="1"/>
  <c r="N53" i="4"/>
  <c r="Q53" i="4" s="1"/>
  <c r="O52" i="4"/>
  <c r="R52" i="4" s="1"/>
  <c r="N52" i="4"/>
  <c r="Q52" i="4" s="1"/>
  <c r="J52" i="4"/>
  <c r="O51" i="4"/>
  <c r="R51" i="4" s="1"/>
  <c r="N51" i="4"/>
  <c r="Q51" i="4" s="1"/>
  <c r="O50" i="4"/>
  <c r="R50" i="4" s="1"/>
  <c r="R85" i="4" s="1"/>
  <c r="N50" i="4"/>
  <c r="Q50" i="4" s="1"/>
  <c r="O49" i="4"/>
  <c r="R49" i="4" s="1"/>
  <c r="N49" i="4"/>
  <c r="Q49" i="4" s="1"/>
  <c r="O48" i="4"/>
  <c r="R48" i="4" s="1"/>
  <c r="N48" i="4"/>
  <c r="Q48" i="4" s="1"/>
  <c r="J48" i="4"/>
  <c r="O47" i="4"/>
  <c r="R47" i="4" s="1"/>
  <c r="N47" i="4"/>
  <c r="Q47" i="4" s="1"/>
  <c r="O46" i="4"/>
  <c r="R46" i="4" s="1"/>
  <c r="N46" i="4"/>
  <c r="Q46" i="4" s="1"/>
  <c r="O45" i="4"/>
  <c r="R45" i="4" s="1"/>
  <c r="N45" i="4"/>
  <c r="Q45" i="4" s="1"/>
  <c r="J45" i="4"/>
  <c r="K47" i="3"/>
  <c r="L47" i="3"/>
  <c r="K46" i="3"/>
  <c r="K45" i="3"/>
  <c r="L44" i="3"/>
  <c r="K44" i="3"/>
  <c r="K43" i="3"/>
  <c r="L43" i="3"/>
  <c r="K42" i="3"/>
  <c r="K38" i="3"/>
  <c r="L37" i="3"/>
  <c r="K37" i="3"/>
  <c r="K36" i="3"/>
  <c r="K35" i="3"/>
  <c r="K34" i="3"/>
  <c r="L34" i="3"/>
  <c r="U127" i="1"/>
  <c r="O28" i="29" s="1"/>
  <c r="T127" i="1"/>
  <c r="N28" i="29" s="1"/>
  <c r="U126" i="1"/>
  <c r="O27" i="29" s="1"/>
  <c r="T126" i="1"/>
  <c r="N27" i="29" s="1"/>
  <c r="U125" i="1"/>
  <c r="O26" i="29" s="1"/>
  <c r="T125" i="1"/>
  <c r="N26" i="29" s="1"/>
  <c r="U124" i="1"/>
  <c r="O25" i="29" s="1"/>
  <c r="T124" i="1"/>
  <c r="N25" i="29" s="1"/>
  <c r="U128" i="1"/>
  <c r="O29" i="29" s="1"/>
  <c r="U122" i="1"/>
  <c r="O23" i="29" s="1"/>
  <c r="T122" i="1"/>
  <c r="N23" i="29" s="1"/>
  <c r="U121" i="1"/>
  <c r="O22" i="29" s="1"/>
  <c r="T121" i="1"/>
  <c r="N22" i="29" s="1"/>
  <c r="U120" i="1"/>
  <c r="O21" i="29" s="1"/>
  <c r="T120" i="1"/>
  <c r="N21" i="29" s="1"/>
  <c r="U119" i="1"/>
  <c r="O20" i="29" s="1"/>
  <c r="T119" i="1"/>
  <c r="N20" i="29" s="1"/>
  <c r="U123" i="1"/>
  <c r="O24" i="29" s="1"/>
  <c r="U117" i="1"/>
  <c r="O18" i="29" s="1"/>
  <c r="T117" i="1"/>
  <c r="N18" i="29" s="1"/>
  <c r="U116" i="1"/>
  <c r="O17" i="29" s="1"/>
  <c r="T116" i="1"/>
  <c r="N17" i="29" s="1"/>
  <c r="U115" i="1"/>
  <c r="O16" i="29" s="1"/>
  <c r="T115" i="1"/>
  <c r="N16" i="29" s="1"/>
  <c r="U114" i="1"/>
  <c r="O15" i="29" s="1"/>
  <c r="T114" i="1"/>
  <c r="N15" i="29" s="1"/>
  <c r="T118" i="1"/>
  <c r="N19" i="29" s="1"/>
  <c r="U112" i="1"/>
  <c r="O13" i="29" s="1"/>
  <c r="T112" i="1"/>
  <c r="N13" i="29" s="1"/>
  <c r="U111" i="1"/>
  <c r="O12" i="29" s="1"/>
  <c r="T111" i="1"/>
  <c r="N12" i="29" s="1"/>
  <c r="U110" i="1"/>
  <c r="O11" i="29" s="1"/>
  <c r="T110" i="1"/>
  <c r="N11" i="29" s="1"/>
  <c r="U109" i="1"/>
  <c r="O10" i="29" s="1"/>
  <c r="T109" i="1"/>
  <c r="N10" i="29" s="1"/>
  <c r="U113" i="1"/>
  <c r="O14" i="29" s="1"/>
  <c r="U107" i="1"/>
  <c r="O8" i="29" s="1"/>
  <c r="T107" i="1"/>
  <c r="N8" i="29" s="1"/>
  <c r="U106" i="1"/>
  <c r="O7" i="29" s="1"/>
  <c r="T106" i="1"/>
  <c r="N7" i="29" s="1"/>
  <c r="U105" i="1"/>
  <c r="O6" i="29" s="1"/>
  <c r="T105" i="1"/>
  <c r="N6" i="29" s="1"/>
  <c r="U104" i="1"/>
  <c r="O5" i="29" s="1"/>
  <c r="T104" i="1"/>
  <c r="N5" i="29" s="1"/>
  <c r="U108" i="1"/>
  <c r="O9" i="29" s="1"/>
  <c r="W76" i="1"/>
  <c r="O69" i="29" l="1"/>
  <c r="M69" i="29"/>
  <c r="I69" i="29"/>
  <c r="K69" i="29"/>
  <c r="J81" i="29"/>
  <c r="H81" i="29"/>
  <c r="L81" i="29"/>
  <c r="N81" i="29"/>
  <c r="H70" i="29"/>
  <c r="N70" i="29"/>
  <c r="L70" i="29"/>
  <c r="J70" i="29"/>
  <c r="I81" i="29"/>
  <c r="K81" i="29"/>
  <c r="M81" i="29"/>
  <c r="O81" i="29"/>
  <c r="L66" i="29"/>
  <c r="N66" i="29"/>
  <c r="H66" i="29"/>
  <c r="J66" i="29"/>
  <c r="O70" i="29"/>
  <c r="I70" i="29"/>
  <c r="M70" i="29"/>
  <c r="K70" i="29"/>
  <c r="M53" i="5"/>
  <c r="M49" i="5"/>
  <c r="K66" i="29"/>
  <c r="O66" i="29"/>
  <c r="M66" i="29"/>
  <c r="I66" i="29"/>
  <c r="J67" i="29"/>
  <c r="J327" i="29" s="1"/>
  <c r="J838" i="29" s="1"/>
  <c r="H67" i="29"/>
  <c r="H327" i="29" s="1"/>
  <c r="H838" i="29" s="1"/>
  <c r="N67" i="29"/>
  <c r="N327" i="29" s="1"/>
  <c r="N838" i="29" s="1"/>
  <c r="L67" i="29"/>
  <c r="L327" i="29" s="1"/>
  <c r="L838" i="29" s="1"/>
  <c r="O67" i="29"/>
  <c r="O327" i="29" s="1"/>
  <c r="O838" i="29" s="1"/>
  <c r="I67" i="29"/>
  <c r="I327" i="29" s="1"/>
  <c r="I838" i="29" s="1"/>
  <c r="M67" i="29"/>
  <c r="M327" i="29" s="1"/>
  <c r="M838" i="29" s="1"/>
  <c r="K67" i="29"/>
  <c r="K327" i="29" s="1"/>
  <c r="K838" i="29" s="1"/>
  <c r="J79" i="29"/>
  <c r="L79" i="29"/>
  <c r="H79" i="29"/>
  <c r="N79" i="29"/>
  <c r="I79" i="29"/>
  <c r="M79" i="29"/>
  <c r="K79" i="29"/>
  <c r="O79" i="29"/>
  <c r="N54" i="5"/>
  <c r="P54" i="5" s="1"/>
  <c r="N61" i="5"/>
  <c r="J80" i="29"/>
  <c r="H80" i="29"/>
  <c r="N80" i="29"/>
  <c r="L80" i="29"/>
  <c r="AB48" i="13"/>
  <c r="O304" i="29"/>
  <c r="M304" i="29"/>
  <c r="M357" i="29" s="1"/>
  <c r="M869" i="29" s="1"/>
  <c r="O36" i="29"/>
  <c r="I36" i="29"/>
  <c r="K36" i="29"/>
  <c r="M36" i="29"/>
  <c r="N69" i="29"/>
  <c r="H69" i="29"/>
  <c r="L69" i="29"/>
  <c r="J69" i="29"/>
  <c r="I80" i="29"/>
  <c r="K80" i="29"/>
  <c r="O80" i="29"/>
  <c r="M80" i="29"/>
  <c r="AA48" i="13"/>
  <c r="N304" i="29"/>
  <c r="N357" i="29" s="1"/>
  <c r="N869" i="29" s="1"/>
  <c r="L304" i="29"/>
  <c r="L357" i="29" s="1"/>
  <c r="L869" i="29" s="1"/>
  <c r="N335" i="29"/>
  <c r="N846" i="29" s="1"/>
  <c r="N339" i="29"/>
  <c r="J49" i="6"/>
  <c r="L55" i="29"/>
  <c r="K33" i="6"/>
  <c r="J55" i="29"/>
  <c r="N55" i="29"/>
  <c r="H55" i="29"/>
  <c r="J62" i="29"/>
  <c r="N62" i="29"/>
  <c r="H62" i="29"/>
  <c r="L62" i="29"/>
  <c r="O43" i="29"/>
  <c r="I43" i="29"/>
  <c r="M43" i="29"/>
  <c r="L24" i="6"/>
  <c r="K43" i="29"/>
  <c r="M55" i="29"/>
  <c r="O55" i="29"/>
  <c r="K55" i="29"/>
  <c r="I55" i="29"/>
  <c r="K57" i="29"/>
  <c r="I57" i="29"/>
  <c r="O57" i="29"/>
  <c r="M57" i="29"/>
  <c r="O62" i="29"/>
  <c r="K62" i="29"/>
  <c r="I62" i="29"/>
  <c r="M62" i="29"/>
  <c r="O74" i="29"/>
  <c r="I74" i="29"/>
  <c r="M74" i="29"/>
  <c r="K74" i="29"/>
  <c r="O85" i="29"/>
  <c r="K85" i="29"/>
  <c r="I85" i="29"/>
  <c r="M85" i="29"/>
  <c r="K37" i="6"/>
  <c r="J43" i="29"/>
  <c r="K24" i="6"/>
  <c r="N43" i="29"/>
  <c r="H43" i="29"/>
  <c r="L43" i="29"/>
  <c r="J74" i="29"/>
  <c r="L74" i="29"/>
  <c r="N74" i="29"/>
  <c r="H74" i="29"/>
  <c r="J45" i="29"/>
  <c r="L45" i="29"/>
  <c r="N45" i="29"/>
  <c r="H45" i="29"/>
  <c r="K26" i="6"/>
  <c r="J56" i="29"/>
  <c r="N56" i="29"/>
  <c r="H56" i="29"/>
  <c r="L56" i="29"/>
  <c r="J61" i="29"/>
  <c r="N61" i="29"/>
  <c r="H61" i="29"/>
  <c r="L61" i="29"/>
  <c r="J73" i="29"/>
  <c r="N73" i="29"/>
  <c r="H73" i="29"/>
  <c r="L73" i="29"/>
  <c r="L84" i="29"/>
  <c r="J84" i="29"/>
  <c r="N84" i="29"/>
  <c r="H84" i="29"/>
  <c r="I49" i="6"/>
  <c r="L33" i="6"/>
  <c r="L37" i="6"/>
  <c r="L41" i="6"/>
  <c r="L45" i="6"/>
  <c r="J57" i="29"/>
  <c r="N57" i="29"/>
  <c r="H57" i="29"/>
  <c r="L57" i="29"/>
  <c r="J85" i="29"/>
  <c r="L85" i="29"/>
  <c r="N85" i="29"/>
  <c r="H85" i="29"/>
  <c r="O45" i="29"/>
  <c r="L26" i="6"/>
  <c r="K45" i="29"/>
  <c r="I45" i="29"/>
  <c r="M45" i="29"/>
  <c r="O56" i="29"/>
  <c r="K56" i="29"/>
  <c r="I56" i="29"/>
  <c r="M56" i="29"/>
  <c r="O61" i="29"/>
  <c r="K61" i="29"/>
  <c r="I61" i="29"/>
  <c r="M61" i="29"/>
  <c r="K73" i="29"/>
  <c r="I73" i="29"/>
  <c r="O73" i="29"/>
  <c r="M73" i="29"/>
  <c r="K84" i="29"/>
  <c r="O84" i="29"/>
  <c r="I84" i="29"/>
  <c r="M84" i="29"/>
  <c r="K87" i="29"/>
  <c r="I87" i="29"/>
  <c r="O87" i="29"/>
  <c r="M87" i="29"/>
  <c r="K35" i="6"/>
  <c r="K39" i="6"/>
  <c r="K43" i="6"/>
  <c r="L49" i="6"/>
  <c r="L36" i="9"/>
  <c r="L58" i="29"/>
  <c r="J58" i="29"/>
  <c r="H58" i="29"/>
  <c r="N58" i="29"/>
  <c r="L37" i="9"/>
  <c r="O89" i="29" s="1"/>
  <c r="I89" i="29"/>
  <c r="M89" i="29"/>
  <c r="K89" i="29"/>
  <c r="P61" i="5"/>
  <c r="K78" i="29"/>
  <c r="I78" i="29"/>
  <c r="M78" i="29"/>
  <c r="O78" i="29"/>
  <c r="J78" i="29"/>
  <c r="L78" i="29"/>
  <c r="H78" i="29"/>
  <c r="N78" i="29"/>
  <c r="L77" i="29"/>
  <c r="J77" i="29"/>
  <c r="H77" i="29"/>
  <c r="N77" i="29"/>
  <c r="M77" i="29"/>
  <c r="I77" i="29"/>
  <c r="O77" i="29"/>
  <c r="K77" i="29"/>
  <c r="N76" i="29"/>
  <c r="L76" i="29"/>
  <c r="J76" i="29"/>
  <c r="H76" i="29"/>
  <c r="K76" i="29"/>
  <c r="O76" i="29"/>
  <c r="M76" i="29"/>
  <c r="I76" i="29"/>
  <c r="N75" i="29"/>
  <c r="H75" i="29"/>
  <c r="L75" i="29"/>
  <c r="J75" i="29"/>
  <c r="T142" i="4"/>
  <c r="K75" i="29"/>
  <c r="I75" i="29"/>
  <c r="O75" i="29"/>
  <c r="M75" i="29"/>
  <c r="S142" i="4"/>
  <c r="M64" i="29"/>
  <c r="K64" i="29"/>
  <c r="I64" i="29"/>
  <c r="O64" i="29"/>
  <c r="N64" i="29"/>
  <c r="H64" i="29"/>
  <c r="L64" i="29"/>
  <c r="J64" i="29"/>
  <c r="M60" i="29"/>
  <c r="I60" i="29"/>
  <c r="K60" i="29"/>
  <c r="O60" i="29"/>
  <c r="O59" i="29"/>
  <c r="M59" i="29"/>
  <c r="I59" i="29"/>
  <c r="K59" i="29"/>
  <c r="N47" i="5"/>
  <c r="K54" i="29" s="1"/>
  <c r="M47" i="5"/>
  <c r="N54" i="29" s="1"/>
  <c r="N53" i="29"/>
  <c r="N46" i="5"/>
  <c r="L47" i="29"/>
  <c r="J47" i="29"/>
  <c r="H47" i="29"/>
  <c r="N47" i="29"/>
  <c r="N32" i="5"/>
  <c r="M42" i="29" s="1"/>
  <c r="M32" i="5"/>
  <c r="H42" i="29" s="1"/>
  <c r="N41" i="29"/>
  <c r="N31" i="5"/>
  <c r="P32" i="5" s="1"/>
  <c r="N340" i="29"/>
  <c r="N851" i="29" s="1"/>
  <c r="N850" i="29"/>
  <c r="M54" i="29"/>
  <c r="O54" i="29"/>
  <c r="K83" i="29"/>
  <c r="I83" i="29"/>
  <c r="M83" i="29"/>
  <c r="O83" i="29"/>
  <c r="L71" i="29"/>
  <c r="J71" i="29"/>
  <c r="H71" i="29"/>
  <c r="N71" i="29"/>
  <c r="J82" i="29"/>
  <c r="H82" i="29"/>
  <c r="L82" i="29"/>
  <c r="N82" i="29"/>
  <c r="O54" i="5"/>
  <c r="M41" i="29"/>
  <c r="O41" i="29"/>
  <c r="K41" i="29"/>
  <c r="I41" i="29"/>
  <c r="K71" i="29"/>
  <c r="I71" i="29"/>
  <c r="M71" i="29"/>
  <c r="O71" i="29"/>
  <c r="M82" i="29"/>
  <c r="K82" i="29"/>
  <c r="I82" i="29"/>
  <c r="O82" i="29"/>
  <c r="L42" i="29"/>
  <c r="J72" i="29"/>
  <c r="H72" i="29"/>
  <c r="L72" i="29"/>
  <c r="N72" i="29"/>
  <c r="J83" i="29"/>
  <c r="N83" i="29"/>
  <c r="L83" i="29"/>
  <c r="H83" i="29"/>
  <c r="O61" i="5"/>
  <c r="K13" i="29"/>
  <c r="M13" i="29"/>
  <c r="G13" i="29"/>
  <c r="I13" i="29"/>
  <c r="H18" i="29"/>
  <c r="L18" i="29"/>
  <c r="F18" i="29"/>
  <c r="J18" i="29"/>
  <c r="K22" i="29"/>
  <c r="I22" i="29"/>
  <c r="M22" i="29"/>
  <c r="G22" i="29"/>
  <c r="H27" i="29"/>
  <c r="J27" i="29"/>
  <c r="L27" i="29"/>
  <c r="F27" i="29"/>
  <c r="K7" i="29"/>
  <c r="M7" i="29"/>
  <c r="G7" i="29"/>
  <c r="I7" i="29"/>
  <c r="L8" i="29"/>
  <c r="J8" i="29"/>
  <c r="F8" i="29"/>
  <c r="H8" i="29"/>
  <c r="H19" i="29"/>
  <c r="F19" i="29"/>
  <c r="J19" i="29"/>
  <c r="L19" i="29"/>
  <c r="I18" i="29"/>
  <c r="M18" i="29"/>
  <c r="G18" i="29"/>
  <c r="K18" i="29"/>
  <c r="H23" i="29"/>
  <c r="L23" i="29"/>
  <c r="F23" i="29"/>
  <c r="J23" i="29"/>
  <c r="K27" i="29"/>
  <c r="M27" i="29"/>
  <c r="G27" i="29"/>
  <c r="I27" i="29"/>
  <c r="H12" i="29"/>
  <c r="L12" i="29"/>
  <c r="F12" i="29"/>
  <c r="J12" i="29"/>
  <c r="K9" i="29"/>
  <c r="I9" i="29"/>
  <c r="M9" i="29"/>
  <c r="G9" i="29"/>
  <c r="K8" i="29"/>
  <c r="I8" i="29"/>
  <c r="G8" i="29"/>
  <c r="M8" i="29"/>
  <c r="I12" i="29"/>
  <c r="M12" i="29"/>
  <c r="G12" i="29"/>
  <c r="K12" i="29"/>
  <c r="H17" i="29"/>
  <c r="L17" i="29"/>
  <c r="F17" i="29"/>
  <c r="J17" i="29"/>
  <c r="I24" i="29"/>
  <c r="M24" i="29"/>
  <c r="G24" i="29"/>
  <c r="K24" i="29"/>
  <c r="K23" i="29"/>
  <c r="I23" i="29"/>
  <c r="M23" i="29"/>
  <c r="G23" i="29"/>
  <c r="H28" i="29"/>
  <c r="J28" i="29"/>
  <c r="L28" i="29"/>
  <c r="F28" i="29"/>
  <c r="H14" i="29"/>
  <c r="L14" i="29"/>
  <c r="F14" i="29"/>
  <c r="J14" i="29"/>
  <c r="H7" i="29"/>
  <c r="L7" i="29"/>
  <c r="F7" i="29"/>
  <c r="J7" i="29"/>
  <c r="H13" i="29"/>
  <c r="L13" i="29"/>
  <c r="F13" i="29"/>
  <c r="J13" i="29"/>
  <c r="K17" i="29"/>
  <c r="I17" i="29"/>
  <c r="M17" i="29"/>
  <c r="G17" i="29"/>
  <c r="H22" i="29"/>
  <c r="L22" i="29"/>
  <c r="F22" i="29"/>
  <c r="J22" i="29"/>
  <c r="K29" i="29"/>
  <c r="I29" i="29"/>
  <c r="M29" i="29"/>
  <c r="G29" i="29"/>
  <c r="K28" i="29"/>
  <c r="I28" i="29"/>
  <c r="M28" i="29"/>
  <c r="G28" i="29"/>
  <c r="T113" i="1"/>
  <c r="N14" i="29" s="1"/>
  <c r="V118" i="1"/>
  <c r="W128" i="1"/>
  <c r="W123" i="1"/>
  <c r="W113" i="1"/>
  <c r="W108" i="1"/>
  <c r="G25" i="29"/>
  <c r="I25" i="29"/>
  <c r="M25" i="29"/>
  <c r="K25" i="29"/>
  <c r="G26" i="29"/>
  <c r="I26" i="29"/>
  <c r="K26" i="29"/>
  <c r="M26" i="29"/>
  <c r="H25" i="29"/>
  <c r="L25" i="29"/>
  <c r="F25" i="29"/>
  <c r="J25" i="29"/>
  <c r="W96" i="1"/>
  <c r="H26" i="29"/>
  <c r="F26" i="29"/>
  <c r="L26" i="29"/>
  <c r="J26" i="29"/>
  <c r="F20" i="29"/>
  <c r="L20" i="29"/>
  <c r="J20" i="29"/>
  <c r="H20" i="29"/>
  <c r="L21" i="29"/>
  <c r="J21" i="29"/>
  <c r="F21" i="29"/>
  <c r="H21" i="29"/>
  <c r="G21" i="29"/>
  <c r="M21" i="29"/>
  <c r="K21" i="29"/>
  <c r="I21" i="29"/>
  <c r="M20" i="29"/>
  <c r="K20" i="29"/>
  <c r="G20" i="29"/>
  <c r="I20" i="29"/>
  <c r="W91" i="1"/>
  <c r="G16" i="29"/>
  <c r="I16" i="29"/>
  <c r="M16" i="29"/>
  <c r="K16" i="29"/>
  <c r="K15" i="29"/>
  <c r="G15" i="29"/>
  <c r="I15" i="29"/>
  <c r="M15" i="29"/>
  <c r="H15" i="29"/>
  <c r="F15" i="29"/>
  <c r="L15" i="29"/>
  <c r="J15" i="29"/>
  <c r="V86" i="1"/>
  <c r="H16" i="29"/>
  <c r="F16" i="29"/>
  <c r="J16" i="29"/>
  <c r="L16" i="29"/>
  <c r="L10" i="29"/>
  <c r="J10" i="29"/>
  <c r="F10" i="29"/>
  <c r="H10" i="29"/>
  <c r="F11" i="29"/>
  <c r="L11" i="29"/>
  <c r="J11" i="29"/>
  <c r="H11" i="29"/>
  <c r="V81" i="1"/>
  <c r="M10" i="29"/>
  <c r="K10" i="29"/>
  <c r="G10" i="29"/>
  <c r="I10" i="29"/>
  <c r="M11" i="29"/>
  <c r="G11" i="29"/>
  <c r="I11" i="29"/>
  <c r="K11" i="29"/>
  <c r="H5" i="29"/>
  <c r="F5" i="29"/>
  <c r="J5" i="29"/>
  <c r="L5" i="29"/>
  <c r="G5" i="29"/>
  <c r="K5" i="29"/>
  <c r="I5" i="29"/>
  <c r="M5" i="29"/>
  <c r="H6" i="29"/>
  <c r="J6" i="29"/>
  <c r="L6" i="29"/>
  <c r="F6" i="29"/>
  <c r="K6" i="29"/>
  <c r="M6" i="29"/>
  <c r="I6" i="29"/>
  <c r="G6" i="29"/>
  <c r="L38" i="9"/>
  <c r="K37" i="9"/>
  <c r="K36" i="9"/>
  <c r="K38" i="9"/>
  <c r="R107" i="4"/>
  <c r="R132" i="4"/>
  <c r="R106" i="4"/>
  <c r="R109" i="4"/>
  <c r="R110" i="4"/>
  <c r="Q89" i="4"/>
  <c r="R108" i="4"/>
  <c r="Q127" i="4"/>
  <c r="R111" i="4"/>
  <c r="R105" i="4"/>
  <c r="Q129" i="4"/>
  <c r="R127" i="4"/>
  <c r="Q110" i="4"/>
  <c r="Q108" i="4"/>
  <c r="R83" i="4"/>
  <c r="Q109" i="4"/>
  <c r="Q107" i="4"/>
  <c r="R88" i="4"/>
  <c r="Q86" i="4"/>
  <c r="Q88" i="4"/>
  <c r="Q105" i="4"/>
  <c r="Q111" i="4"/>
  <c r="Q84" i="4"/>
  <c r="Q85" i="4"/>
  <c r="R89" i="4"/>
  <c r="R84" i="4"/>
  <c r="R86" i="4"/>
  <c r="R87" i="4"/>
  <c r="R129" i="4"/>
  <c r="Q132" i="4"/>
  <c r="Q83" i="4"/>
  <c r="S89" i="4" s="1"/>
  <c r="Q87" i="4"/>
  <c r="K49" i="3"/>
  <c r="N303" i="29" s="1"/>
  <c r="K40" i="3"/>
  <c r="K48" i="3"/>
  <c r="K39" i="3"/>
  <c r="L36" i="3"/>
  <c r="L35" i="3"/>
  <c r="L46" i="3"/>
  <c r="L42" i="3"/>
  <c r="L38" i="3"/>
  <c r="L45" i="3"/>
  <c r="L49" i="3" s="1"/>
  <c r="O303" i="29" s="1"/>
  <c r="T108" i="1"/>
  <c r="N9" i="29" s="1"/>
  <c r="W81" i="1"/>
  <c r="U118" i="1"/>
  <c r="O19" i="29" s="1"/>
  <c r="T128" i="1"/>
  <c r="N29" i="29" s="1"/>
  <c r="T123" i="1"/>
  <c r="N24" i="29" s="1"/>
  <c r="O52" i="29" l="1"/>
  <c r="K52" i="29"/>
  <c r="M52" i="29"/>
  <c r="I52" i="29"/>
  <c r="I37" i="29"/>
  <c r="O37" i="29"/>
  <c r="K37" i="29"/>
  <c r="M37" i="29"/>
  <c r="J37" i="29"/>
  <c r="H37" i="29"/>
  <c r="N37" i="29"/>
  <c r="L37" i="29"/>
  <c r="J48" i="29"/>
  <c r="H48" i="29"/>
  <c r="N48" i="29"/>
  <c r="L48" i="29"/>
  <c r="I48" i="29"/>
  <c r="M48" i="29"/>
  <c r="K48" i="29"/>
  <c r="O48" i="29"/>
  <c r="O332" i="29" s="1"/>
  <c r="O843" i="29" s="1"/>
  <c r="O72" i="29"/>
  <c r="N36" i="29"/>
  <c r="H36" i="29"/>
  <c r="J36" i="29"/>
  <c r="L36" i="29"/>
  <c r="M72" i="29"/>
  <c r="I49" i="29"/>
  <c r="K49" i="29"/>
  <c r="O49" i="29"/>
  <c r="M49" i="29"/>
  <c r="I72" i="29"/>
  <c r="O40" i="29"/>
  <c r="O343" i="29" s="1"/>
  <c r="O854" i="29" s="1"/>
  <c r="I40" i="29"/>
  <c r="M40" i="29"/>
  <c r="M343" i="29" s="1"/>
  <c r="M854" i="29" s="1"/>
  <c r="K40" i="29"/>
  <c r="K343" i="29" s="1"/>
  <c r="K854" i="29" s="1"/>
  <c r="L68" i="29"/>
  <c r="L318" i="29" s="1"/>
  <c r="L829" i="29" s="1"/>
  <c r="J68" i="29"/>
  <c r="J318" i="29" s="1"/>
  <c r="J829" i="29" s="1"/>
  <c r="N68" i="29"/>
  <c r="N318" i="29" s="1"/>
  <c r="N829" i="29" s="1"/>
  <c r="H68" i="29"/>
  <c r="H318" i="29" s="1"/>
  <c r="H829" i="29" s="1"/>
  <c r="N52" i="29"/>
  <c r="L52" i="29"/>
  <c r="J52" i="29"/>
  <c r="H52" i="29"/>
  <c r="J49" i="29"/>
  <c r="H49" i="29"/>
  <c r="L49" i="29"/>
  <c r="N49" i="29"/>
  <c r="N40" i="29"/>
  <c r="N343" i="29" s="1"/>
  <c r="N854" i="29" s="1"/>
  <c r="L40" i="29"/>
  <c r="L343" i="29" s="1"/>
  <c r="L854" i="29" s="1"/>
  <c r="J40" i="29"/>
  <c r="J343" i="29" s="1"/>
  <c r="J854" i="29" s="1"/>
  <c r="H40" i="29"/>
  <c r="H343" i="29" s="1"/>
  <c r="H854" i="29" s="1"/>
  <c r="K72" i="29"/>
  <c r="S111" i="4"/>
  <c r="S143" i="4" s="1"/>
  <c r="O68" i="29"/>
  <c r="O318" i="29" s="1"/>
  <c r="O829" i="29" s="1"/>
  <c r="M68" i="29"/>
  <c r="M318" i="29" s="1"/>
  <c r="M829" i="29" s="1"/>
  <c r="I68" i="29"/>
  <c r="I318" i="29" s="1"/>
  <c r="I829" i="29" s="1"/>
  <c r="K68" i="29"/>
  <c r="K318" i="29" s="1"/>
  <c r="K829" i="29" s="1"/>
  <c r="I347" i="29"/>
  <c r="I858" i="29" s="1"/>
  <c r="L324" i="29"/>
  <c r="L835" i="29" s="1"/>
  <c r="H339" i="29"/>
  <c r="J324" i="29"/>
  <c r="J835" i="29" s="1"/>
  <c r="J53" i="29"/>
  <c r="L53" i="29"/>
  <c r="H41" i="29"/>
  <c r="J41" i="29"/>
  <c r="L41" i="29"/>
  <c r="O347" i="29"/>
  <c r="O858" i="29" s="1"/>
  <c r="N324" i="29"/>
  <c r="N835" i="29" s="1"/>
  <c r="J325" i="29"/>
  <c r="J836" i="29" s="1"/>
  <c r="I324" i="29"/>
  <c r="I835" i="29" s="1"/>
  <c r="M325" i="29"/>
  <c r="M836" i="29" s="1"/>
  <c r="L325" i="29"/>
  <c r="L836" i="29" s="1"/>
  <c r="M347" i="29"/>
  <c r="M858" i="29" s="1"/>
  <c r="H325" i="29"/>
  <c r="H836" i="29" s="1"/>
  <c r="K324" i="29"/>
  <c r="K835" i="29" s="1"/>
  <c r="I325" i="29"/>
  <c r="I836" i="29" s="1"/>
  <c r="J87" i="29"/>
  <c r="J347" i="29" s="1"/>
  <c r="J858" i="29" s="1"/>
  <c r="L87" i="29"/>
  <c r="L347" i="29" s="1"/>
  <c r="L858" i="29" s="1"/>
  <c r="N87" i="29"/>
  <c r="N347" i="29" s="1"/>
  <c r="N858" i="29" s="1"/>
  <c r="H87" i="29"/>
  <c r="H347" i="29" s="1"/>
  <c r="H858" i="29" s="1"/>
  <c r="K49" i="6"/>
  <c r="K50" i="6" s="1"/>
  <c r="N325" i="29"/>
  <c r="N836" i="29" s="1"/>
  <c r="M324" i="29"/>
  <c r="M835" i="29" s="1"/>
  <c r="K325" i="29"/>
  <c r="K836" i="29" s="1"/>
  <c r="O325" i="29"/>
  <c r="O836" i="29" s="1"/>
  <c r="K347" i="29"/>
  <c r="K858" i="29" s="1"/>
  <c r="H324" i="29"/>
  <c r="H835" i="29" s="1"/>
  <c r="L50" i="6"/>
  <c r="N42" i="29"/>
  <c r="L54" i="29"/>
  <c r="J42" i="29"/>
  <c r="O32" i="5"/>
  <c r="I54" i="29"/>
  <c r="P47" i="5"/>
  <c r="L40" i="3"/>
  <c r="K303" i="29" s="1"/>
  <c r="N38" i="9"/>
  <c r="H88" i="29"/>
  <c r="H352" i="29" s="1"/>
  <c r="H864" i="29" s="1"/>
  <c r="N88" i="29"/>
  <c r="N352" i="29" s="1"/>
  <c r="N864" i="29" s="1"/>
  <c r="L88" i="29"/>
  <c r="L352" i="29" s="1"/>
  <c r="L864" i="29" s="1"/>
  <c r="J88" i="29"/>
  <c r="J352" i="29" s="1"/>
  <c r="J864" i="29" s="1"/>
  <c r="O88" i="29"/>
  <c r="K88" i="29"/>
  <c r="M88" i="29"/>
  <c r="I88" i="29"/>
  <c r="M58" i="29"/>
  <c r="I58" i="29"/>
  <c r="K58" i="29"/>
  <c r="O58" i="29"/>
  <c r="N28" i="9"/>
  <c r="N39" i="9" s="1"/>
  <c r="I329" i="29"/>
  <c r="I840" i="29" s="1"/>
  <c r="K329" i="29"/>
  <c r="K840" i="29" s="1"/>
  <c r="M329" i="29"/>
  <c r="M840" i="29" s="1"/>
  <c r="O329" i="29"/>
  <c r="O840" i="29" s="1"/>
  <c r="H90" i="29"/>
  <c r="N90" i="29"/>
  <c r="L90" i="29"/>
  <c r="J90" i="29"/>
  <c r="N89" i="29"/>
  <c r="M38" i="9"/>
  <c r="H89" i="29"/>
  <c r="L89" i="29"/>
  <c r="J89" i="29"/>
  <c r="I90" i="29"/>
  <c r="O90" i="29"/>
  <c r="O328" i="29" s="1"/>
  <c r="O839" i="29" s="1"/>
  <c r="K90" i="29"/>
  <c r="K328" i="29" s="1"/>
  <c r="K839" i="29" s="1"/>
  <c r="M90" i="29"/>
  <c r="M328" i="29" s="1"/>
  <c r="M839" i="29" s="1"/>
  <c r="O65" i="29"/>
  <c r="O330" i="29" s="1"/>
  <c r="O841" i="29" s="1"/>
  <c r="K65" i="29"/>
  <c r="K330" i="29" s="1"/>
  <c r="K841" i="29" s="1"/>
  <c r="M65" i="29"/>
  <c r="M330" i="29" s="1"/>
  <c r="M841" i="29" s="1"/>
  <c r="I65" i="29"/>
  <c r="I330" i="29" s="1"/>
  <c r="I841" i="29" s="1"/>
  <c r="H65" i="29"/>
  <c r="H330" i="29" s="1"/>
  <c r="H841" i="29" s="1"/>
  <c r="N65" i="29"/>
  <c r="N330" i="29" s="1"/>
  <c r="N841" i="29" s="1"/>
  <c r="L65" i="29"/>
  <c r="L330" i="29" s="1"/>
  <c r="L841" i="29" s="1"/>
  <c r="J65" i="29"/>
  <c r="J330" i="29" s="1"/>
  <c r="J841" i="29" s="1"/>
  <c r="J63" i="29"/>
  <c r="N63" i="29"/>
  <c r="H63" i="29"/>
  <c r="L63" i="29"/>
  <c r="O63" i="29"/>
  <c r="K63" i="29"/>
  <c r="M63" i="29"/>
  <c r="I63" i="29"/>
  <c r="L60" i="29"/>
  <c r="J60" i="29"/>
  <c r="N60" i="29"/>
  <c r="H60" i="29"/>
  <c r="M28" i="9"/>
  <c r="N59" i="29"/>
  <c r="L59" i="29"/>
  <c r="J59" i="29"/>
  <c r="H59" i="29"/>
  <c r="J54" i="29"/>
  <c r="O47" i="5"/>
  <c r="H54" i="29"/>
  <c r="H353" i="29" s="1"/>
  <c r="H865" i="29" s="1"/>
  <c r="P63" i="5"/>
  <c r="I53" i="29"/>
  <c r="I356" i="29" s="1"/>
  <c r="I868" i="29" s="1"/>
  <c r="K53" i="29"/>
  <c r="K356" i="29" s="1"/>
  <c r="K868" i="29" s="1"/>
  <c r="O53" i="29"/>
  <c r="H53" i="29"/>
  <c r="M53" i="29"/>
  <c r="M356" i="29" s="1"/>
  <c r="M868" i="29" s="1"/>
  <c r="L51" i="29"/>
  <c r="N51" i="29"/>
  <c r="J51" i="29"/>
  <c r="H51" i="29"/>
  <c r="M50" i="29"/>
  <c r="K50" i="29"/>
  <c r="O50" i="29"/>
  <c r="I50" i="29"/>
  <c r="M47" i="29"/>
  <c r="K47" i="29"/>
  <c r="I47" i="29"/>
  <c r="O47" i="29"/>
  <c r="L50" i="29"/>
  <c r="J50" i="29"/>
  <c r="H50" i="29"/>
  <c r="N50" i="29"/>
  <c r="M51" i="29"/>
  <c r="K51" i="29"/>
  <c r="I51" i="29"/>
  <c r="O51" i="29"/>
  <c r="N46" i="29"/>
  <c r="H46" i="29"/>
  <c r="L46" i="29"/>
  <c r="J46" i="29"/>
  <c r="O46" i="29"/>
  <c r="K46" i="29"/>
  <c r="M46" i="29"/>
  <c r="I46" i="29"/>
  <c r="O42" i="29"/>
  <c r="O353" i="29" s="1"/>
  <c r="O865" i="29" s="1"/>
  <c r="I42" i="29"/>
  <c r="K42" i="29"/>
  <c r="K353" i="29" s="1"/>
  <c r="K865" i="29" s="1"/>
  <c r="L38" i="29"/>
  <c r="J38" i="29"/>
  <c r="H38" i="29"/>
  <c r="N38" i="29"/>
  <c r="N35" i="29"/>
  <c r="N322" i="29" s="1"/>
  <c r="N833" i="29" s="1"/>
  <c r="L35" i="29"/>
  <c r="L322" i="29" s="1"/>
  <c r="L833" i="29" s="1"/>
  <c r="J35" i="29"/>
  <c r="J322" i="29" s="1"/>
  <c r="J833" i="29" s="1"/>
  <c r="H35" i="29"/>
  <c r="H322" i="29" s="1"/>
  <c r="H833" i="29" s="1"/>
  <c r="K38" i="29"/>
  <c r="M38" i="29"/>
  <c r="I38" i="29"/>
  <c r="O38" i="29"/>
  <c r="L39" i="29"/>
  <c r="J39" i="29"/>
  <c r="H39" i="29"/>
  <c r="N39" i="29"/>
  <c r="M39" i="29"/>
  <c r="I39" i="29"/>
  <c r="O39" i="29"/>
  <c r="K39" i="29"/>
  <c r="O35" i="29"/>
  <c r="O322" i="29" s="1"/>
  <c r="O833" i="29" s="1"/>
  <c r="M35" i="29"/>
  <c r="K35" i="29"/>
  <c r="K322" i="29" s="1"/>
  <c r="K833" i="29" s="1"/>
  <c r="I35" i="29"/>
  <c r="I34" i="29"/>
  <c r="O34" i="29"/>
  <c r="K34" i="29"/>
  <c r="M34" i="29"/>
  <c r="N34" i="29"/>
  <c r="L34" i="29"/>
  <c r="J34" i="29"/>
  <c r="H34" i="29"/>
  <c r="M332" i="29"/>
  <c r="M843" i="29" s="1"/>
  <c r="L332" i="29"/>
  <c r="L843" i="29" s="1"/>
  <c r="L340" i="29"/>
  <c r="L851" i="29" s="1"/>
  <c r="L335" i="29"/>
  <c r="L846" i="29" s="1"/>
  <c r="I332" i="29"/>
  <c r="I843" i="29" s="1"/>
  <c r="L339" i="29"/>
  <c r="L850" i="29" s="1"/>
  <c r="M340" i="29"/>
  <c r="M851" i="29" s="1"/>
  <c r="M335" i="29"/>
  <c r="M846" i="29" s="1"/>
  <c r="M339" i="29"/>
  <c r="M850" i="29" s="1"/>
  <c r="N342" i="29"/>
  <c r="N853" i="29" s="1"/>
  <c r="N302" i="29"/>
  <c r="M49" i="3"/>
  <c r="M40" i="3"/>
  <c r="H302" i="29"/>
  <c r="F302" i="29"/>
  <c r="L302" i="29"/>
  <c r="J302" i="29"/>
  <c r="J303" i="29"/>
  <c r="H303" i="29"/>
  <c r="F303" i="29"/>
  <c r="L303" i="29"/>
  <c r="F339" i="29"/>
  <c r="F850" i="29" s="1"/>
  <c r="O356" i="29"/>
  <c r="O868" i="29" s="1"/>
  <c r="I353" i="29"/>
  <c r="I865" i="29" s="1"/>
  <c r="L353" i="29"/>
  <c r="L865" i="29" s="1"/>
  <c r="N353" i="29"/>
  <c r="N865" i="29" s="1"/>
  <c r="N356" i="29"/>
  <c r="N868" i="29" s="1"/>
  <c r="M353" i="29"/>
  <c r="M865" i="29" s="1"/>
  <c r="V113" i="1"/>
  <c r="J29" i="29"/>
  <c r="H29" i="29"/>
  <c r="L29" i="29"/>
  <c r="F29" i="29"/>
  <c r="H335" i="29"/>
  <c r="H846" i="29" s="1"/>
  <c r="V108" i="1"/>
  <c r="G339" i="29"/>
  <c r="G850" i="29" s="1"/>
  <c r="G340" i="29"/>
  <c r="G851" i="29" s="1"/>
  <c r="K19" i="29"/>
  <c r="M19" i="29"/>
  <c r="G19" i="29"/>
  <c r="I19" i="29"/>
  <c r="K340" i="29"/>
  <c r="K851" i="29" s="1"/>
  <c r="H340" i="29"/>
  <c r="H851" i="29" s="1"/>
  <c r="I339" i="29"/>
  <c r="I850" i="29" s="1"/>
  <c r="J339" i="29"/>
  <c r="J850" i="29" s="1"/>
  <c r="H24" i="29"/>
  <c r="L24" i="29"/>
  <c r="F24" i="29"/>
  <c r="J24" i="29"/>
  <c r="F9" i="29"/>
  <c r="L9" i="29"/>
  <c r="H9" i="29"/>
  <c r="J9" i="29"/>
  <c r="V91" i="1"/>
  <c r="V123" i="1"/>
  <c r="J340" i="29"/>
  <c r="J851" i="29" s="1"/>
  <c r="V76" i="1"/>
  <c r="K14" i="29"/>
  <c r="I14" i="29"/>
  <c r="M14" i="29"/>
  <c r="G14" i="29"/>
  <c r="W86" i="1"/>
  <c r="W97" i="1" s="1"/>
  <c r="V128" i="1"/>
  <c r="F340" i="29"/>
  <c r="F851" i="29" s="1"/>
  <c r="H850" i="29"/>
  <c r="I340" i="29"/>
  <c r="I851" i="29" s="1"/>
  <c r="V96" i="1"/>
  <c r="K339" i="29"/>
  <c r="K850" i="29" s="1"/>
  <c r="W118" i="1"/>
  <c r="K335" i="29"/>
  <c r="K846" i="29" s="1"/>
  <c r="I335" i="29"/>
  <c r="I846" i="29" s="1"/>
  <c r="F335" i="29"/>
  <c r="F846" i="29" s="1"/>
  <c r="J335" i="29"/>
  <c r="J846" i="29" s="1"/>
  <c r="G335" i="29"/>
  <c r="G846" i="29" s="1"/>
  <c r="K332" i="29"/>
  <c r="K843" i="29" s="1"/>
  <c r="J332" i="29"/>
  <c r="J843" i="29" s="1"/>
  <c r="G332" i="29"/>
  <c r="G843" i="29" s="1"/>
  <c r="F332" i="29"/>
  <c r="F843" i="29" s="1"/>
  <c r="H332" i="29"/>
  <c r="H843" i="29" s="1"/>
  <c r="S134" i="4"/>
  <c r="T111" i="4"/>
  <c r="T89" i="4"/>
  <c r="T134" i="4"/>
  <c r="L39" i="3"/>
  <c r="L48" i="3"/>
  <c r="L356" i="29" l="1"/>
  <c r="L868" i="29" s="1"/>
  <c r="N332" i="29"/>
  <c r="N843" i="29" s="1"/>
  <c r="O63" i="5"/>
  <c r="V134" i="1"/>
  <c r="J356" i="29"/>
  <c r="J868" i="29" s="1"/>
  <c r="I343" i="29"/>
  <c r="I854" i="29" s="1"/>
  <c r="O320" i="29"/>
  <c r="O831" i="29" s="1"/>
  <c r="H342" i="29"/>
  <c r="H853" i="29" s="1"/>
  <c r="I303" i="29"/>
  <c r="M303" i="29"/>
  <c r="K344" i="29"/>
  <c r="K855" i="29" s="1"/>
  <c r="H320" i="29"/>
  <c r="H831" i="29" s="1"/>
  <c r="K355" i="29"/>
  <c r="K867" i="29" s="1"/>
  <c r="N355" i="29"/>
  <c r="N867" i="29" s="1"/>
  <c r="K352" i="29"/>
  <c r="K864" i="29" s="1"/>
  <c r="H356" i="29"/>
  <c r="H868" i="29" s="1"/>
  <c r="I328" i="29"/>
  <c r="I839" i="29" s="1"/>
  <c r="H355" i="29"/>
  <c r="H867" i="29" s="1"/>
  <c r="N320" i="29"/>
  <c r="N831" i="29" s="1"/>
  <c r="M355" i="29"/>
  <c r="M867" i="29" s="1"/>
  <c r="L355" i="29"/>
  <c r="L867" i="29" s="1"/>
  <c r="L344" i="29"/>
  <c r="L855" i="29" s="1"/>
  <c r="N344" i="29"/>
  <c r="N855" i="29" s="1"/>
  <c r="J353" i="29"/>
  <c r="J865" i="29" s="1"/>
  <c r="G303" i="29"/>
  <c r="H329" i="29"/>
  <c r="H840" i="29" s="1"/>
  <c r="O352" i="29"/>
  <c r="O864" i="29" s="1"/>
  <c r="I352" i="29"/>
  <c r="I864" i="29" s="1"/>
  <c r="M352" i="29"/>
  <c r="M864" i="29" s="1"/>
  <c r="H328" i="29"/>
  <c r="H839" i="29" s="1"/>
  <c r="J328" i="29"/>
  <c r="J839" i="29" s="1"/>
  <c r="L328" i="29"/>
  <c r="L839" i="29" s="1"/>
  <c r="M39" i="9"/>
  <c r="L329" i="29"/>
  <c r="L840" i="29" s="1"/>
  <c r="N329" i="29"/>
  <c r="N840" i="29" s="1"/>
  <c r="N328" i="29"/>
  <c r="N839" i="29" s="1"/>
  <c r="J329" i="29"/>
  <c r="J840" i="29" s="1"/>
  <c r="L320" i="29"/>
  <c r="L831" i="29" s="1"/>
  <c r="K320" i="29"/>
  <c r="K831" i="29" s="1"/>
  <c r="I322" i="29"/>
  <c r="I833" i="29" s="1"/>
  <c r="M322" i="29"/>
  <c r="M833" i="29" s="1"/>
  <c r="J355" i="29"/>
  <c r="J867" i="29" s="1"/>
  <c r="O344" i="29"/>
  <c r="O855" i="29" s="1"/>
  <c r="I344" i="29"/>
  <c r="I855" i="29" s="1"/>
  <c r="H344" i="29"/>
  <c r="H855" i="29" s="1"/>
  <c r="I355" i="29"/>
  <c r="I867" i="29" s="1"/>
  <c r="M344" i="29"/>
  <c r="M855" i="29" s="1"/>
  <c r="J344" i="29"/>
  <c r="J855" i="29" s="1"/>
  <c r="I320" i="29"/>
  <c r="I831" i="29" s="1"/>
  <c r="M320" i="29"/>
  <c r="M831" i="29" s="1"/>
  <c r="J320" i="29"/>
  <c r="J831" i="29" s="1"/>
  <c r="T143" i="4"/>
  <c r="M342" i="29"/>
  <c r="M853" i="29" s="1"/>
  <c r="L342" i="29"/>
  <c r="L853" i="29" s="1"/>
  <c r="W134" i="1"/>
  <c r="V97" i="1"/>
  <c r="M51" i="3"/>
  <c r="I342" i="29"/>
  <c r="I853" i="29" s="1"/>
  <c r="J342" i="29"/>
  <c r="J853" i="29" s="1"/>
  <c r="G342" i="29"/>
  <c r="G853" i="29" s="1"/>
  <c r="F342" i="29"/>
  <c r="K342" i="29"/>
  <c r="K853" i="29" s="1"/>
  <c r="O302" i="29"/>
  <c r="N49" i="3"/>
  <c r="K302" i="29"/>
  <c r="M302" i="29"/>
  <c r="I302" i="29"/>
  <c r="G302" i="29"/>
  <c r="N40" i="3"/>
  <c r="J254" i="18"/>
  <c r="J253" i="18"/>
  <c r="J250" i="18"/>
  <c r="O282" i="29" s="1"/>
  <c r="J249" i="18"/>
  <c r="O281" i="29" s="1"/>
  <c r="J248" i="18"/>
  <c r="O280" i="29" s="1"/>
  <c r="L253" i="18" l="1"/>
  <c r="O285" i="29"/>
  <c r="L254" i="18"/>
  <c r="O286" i="29"/>
  <c r="F853" i="29"/>
  <c r="N51" i="3"/>
  <c r="L250" i="18"/>
  <c r="J252" i="18"/>
  <c r="O284" i="29" s="1"/>
  <c r="J251" i="18"/>
  <c r="O283" i="29" s="1"/>
  <c r="J247" i="18"/>
  <c r="J246" i="18"/>
  <c r="J245" i="18"/>
  <c r="J244" i="18"/>
  <c r="O276" i="29" s="1"/>
  <c r="J243" i="18"/>
  <c r="O275" i="29" s="1"/>
  <c r="J242" i="18"/>
  <c r="J241" i="18"/>
  <c r="J240" i="18"/>
  <c r="J238" i="18"/>
  <c r="O270" i="29" s="1"/>
  <c r="J239" i="18"/>
  <c r="O271" i="29" s="1"/>
  <c r="J237" i="18"/>
  <c r="O269" i="29" s="1"/>
  <c r="J236" i="18"/>
  <c r="O268" i="29" s="1"/>
  <c r="J235" i="18"/>
  <c r="O267" i="29" s="1"/>
  <c r="J234" i="18"/>
  <c r="O266" i="29" s="1"/>
  <c r="J233" i="18"/>
  <c r="O265" i="29" s="1"/>
  <c r="J230" i="18"/>
  <c r="J229" i="18"/>
  <c r="J228" i="18"/>
  <c r="O260" i="29" s="1"/>
  <c r="J227" i="18"/>
  <c r="O259" i="29" s="1"/>
  <c r="J226" i="18"/>
  <c r="O258" i="29" s="1"/>
  <c r="J225" i="18"/>
  <c r="O257" i="29" s="1"/>
  <c r="J224" i="18"/>
  <c r="J223" i="18"/>
  <c r="J221" i="18"/>
  <c r="J220" i="18"/>
  <c r="O252" i="29" s="1"/>
  <c r="J219" i="18"/>
  <c r="O251" i="29" s="1"/>
  <c r="J218" i="18"/>
  <c r="O250" i="29" s="1"/>
  <c r="J217" i="18"/>
  <c r="O249" i="29" s="1"/>
  <c r="J216" i="18"/>
  <c r="O248" i="29" s="1"/>
  <c r="J215" i="18"/>
  <c r="O247" i="29" s="1"/>
  <c r="J214" i="18"/>
  <c r="O246" i="29" s="1"/>
  <c r="J211" i="18"/>
  <c r="J210" i="18"/>
  <c r="O242" i="29" s="1"/>
  <c r="J209" i="18"/>
  <c r="O241" i="29" s="1"/>
  <c r="J208" i="18"/>
  <c r="J207" i="18"/>
  <c r="O239" i="29" s="1"/>
  <c r="J206" i="18"/>
  <c r="O238" i="29" s="1"/>
  <c r="J205" i="18"/>
  <c r="O237" i="29" s="1"/>
  <c r="J204" i="18"/>
  <c r="O236" i="29" s="1"/>
  <c r="J203" i="18"/>
  <c r="O235" i="29" s="1"/>
  <c r="J202" i="18"/>
  <c r="O234" i="29" s="1"/>
  <c r="J200" i="18"/>
  <c r="J199" i="18"/>
  <c r="O231" i="29" s="1"/>
  <c r="J198" i="18"/>
  <c r="O230" i="29" s="1"/>
  <c r="J197" i="18"/>
  <c r="J196" i="18"/>
  <c r="O228" i="29" s="1"/>
  <c r="J195" i="18"/>
  <c r="O227" i="29" s="1"/>
  <c r="J194" i="18"/>
  <c r="O226" i="29" s="1"/>
  <c r="J193" i="18"/>
  <c r="O225" i="29" s="1"/>
  <c r="J192" i="18"/>
  <c r="O224" i="29" s="1"/>
  <c r="J191" i="18"/>
  <c r="O223" i="29" s="1"/>
  <c r="J190" i="18"/>
  <c r="O222" i="29" s="1"/>
  <c r="J189" i="18"/>
  <c r="O221" i="29" s="1"/>
  <c r="J188" i="18"/>
  <c r="O220" i="29" s="1"/>
  <c r="J187" i="18"/>
  <c r="O219" i="29" s="1"/>
  <c r="J186" i="18"/>
  <c r="O218" i="29" s="1"/>
  <c r="J185" i="18"/>
  <c r="O217" i="29" s="1"/>
  <c r="J184" i="18"/>
  <c r="O216" i="29" s="1"/>
  <c r="J183" i="18"/>
  <c r="O215" i="29" s="1"/>
  <c r="J182" i="18"/>
  <c r="O214" i="29" s="1"/>
  <c r="J181" i="18"/>
  <c r="O213" i="29" s="1"/>
  <c r="J180" i="18"/>
  <c r="O212" i="29" s="1"/>
  <c r="J179" i="18"/>
  <c r="O211" i="29" s="1"/>
  <c r="J178" i="18"/>
  <c r="J173" i="18"/>
  <c r="O205" i="29" s="1"/>
  <c r="J172" i="18"/>
  <c r="O204" i="29" s="1"/>
  <c r="J171" i="18"/>
  <c r="O203" i="29" s="1"/>
  <c r="J170" i="18"/>
  <c r="O202" i="29" s="1"/>
  <c r="J169" i="18"/>
  <c r="O201" i="29" s="1"/>
  <c r="J168" i="18"/>
  <c r="O200" i="29" s="1"/>
  <c r="J167" i="18"/>
  <c r="J166" i="18"/>
  <c r="O198" i="29" s="1"/>
  <c r="J165" i="18"/>
  <c r="O197" i="29" s="1"/>
  <c r="J164" i="18"/>
  <c r="O196" i="29" s="1"/>
  <c r="J163" i="18"/>
  <c r="O195" i="29" s="1"/>
  <c r="J162" i="18"/>
  <c r="O194" i="29" s="1"/>
  <c r="J161" i="18"/>
  <c r="O193" i="29" s="1"/>
  <c r="J160" i="18"/>
  <c r="O192" i="29" s="1"/>
  <c r="J159" i="18"/>
  <c r="O191" i="29" s="1"/>
  <c r="J158" i="18"/>
  <c r="O190" i="29" s="1"/>
  <c r="J157" i="18"/>
  <c r="O189" i="29" s="1"/>
  <c r="J156" i="18"/>
  <c r="O188" i="29" s="1"/>
  <c r="O187" i="29"/>
  <c r="O326" i="29" s="1"/>
  <c r="O837" i="29" s="1"/>
  <c r="J154" i="18"/>
  <c r="J153" i="18"/>
  <c r="O185" i="29" s="1"/>
  <c r="J152" i="18"/>
  <c r="O184" i="29" s="1"/>
  <c r="J151" i="18"/>
  <c r="O183" i="29" s="1"/>
  <c r="J150" i="18"/>
  <c r="O182" i="29" s="1"/>
  <c r="J149" i="18"/>
  <c r="O181" i="29" s="1"/>
  <c r="J148" i="18"/>
  <c r="O180" i="29" s="1"/>
  <c r="J147" i="18"/>
  <c r="O179" i="29" s="1"/>
  <c r="J146" i="18"/>
  <c r="O178" i="29" s="1"/>
  <c r="J145" i="18"/>
  <c r="O177" i="29" s="1"/>
  <c r="J144" i="18"/>
  <c r="O176" i="29" s="1"/>
  <c r="J143" i="18"/>
  <c r="O175" i="29" s="1"/>
  <c r="J142" i="18"/>
  <c r="O174" i="29" s="1"/>
  <c r="J141" i="18"/>
  <c r="O173" i="29" s="1"/>
  <c r="J140" i="18"/>
  <c r="O172" i="29" s="1"/>
  <c r="J139" i="18"/>
  <c r="O171" i="29" s="1"/>
  <c r="J177" i="18"/>
  <c r="O209" i="29" s="1"/>
  <c r="J176" i="18"/>
  <c r="O208" i="29" s="1"/>
  <c r="J175" i="18"/>
  <c r="O207" i="29" s="1"/>
  <c r="J174" i="18"/>
  <c r="O206" i="29" s="1"/>
  <c r="O186" i="29" l="1"/>
  <c r="L155" i="18"/>
  <c r="O319" i="29"/>
  <c r="O830" i="29" s="1"/>
  <c r="O339" i="29"/>
  <c r="O850" i="29" s="1"/>
  <c r="O334" i="29"/>
  <c r="O845" i="29" s="1"/>
  <c r="L200" i="18"/>
  <c r="O232" i="29"/>
  <c r="L232" i="18"/>
  <c r="O264" i="29"/>
  <c r="O321" i="29" s="1"/>
  <c r="O832" i="29" s="1"/>
  <c r="L240" i="18"/>
  <c r="O272" i="29"/>
  <c r="O331" i="29"/>
  <c r="O842" i="29" s="1"/>
  <c r="L197" i="18"/>
  <c r="O229" i="29"/>
  <c r="L229" i="18"/>
  <c r="O261" i="29"/>
  <c r="L241" i="18"/>
  <c r="O273" i="29"/>
  <c r="O349" i="29" s="1"/>
  <c r="O860" i="29" s="1"/>
  <c r="L245" i="18"/>
  <c r="O277" i="29"/>
  <c r="L224" i="18"/>
  <c r="O256" i="29"/>
  <c r="O354" i="29" s="1"/>
  <c r="O866" i="29" s="1"/>
  <c r="L178" i="18"/>
  <c r="O210" i="29"/>
  <c r="L213" i="18"/>
  <c r="O243" i="29"/>
  <c r="L222" i="18"/>
  <c r="O253" i="29"/>
  <c r="O342" i="29" s="1"/>
  <c r="L230" i="18"/>
  <c r="O262" i="29"/>
  <c r="L242" i="18"/>
  <c r="O274" i="29"/>
  <c r="O335" i="29" s="1"/>
  <c r="L246" i="18"/>
  <c r="O278" i="29"/>
  <c r="O358" i="29"/>
  <c r="O870" i="29" s="1"/>
  <c r="L167" i="18"/>
  <c r="O199" i="29"/>
  <c r="L208" i="18"/>
  <c r="O240" i="29"/>
  <c r="L223" i="18"/>
  <c r="O255" i="29"/>
  <c r="L231" i="18"/>
  <c r="O263" i="29"/>
  <c r="O357" i="29" s="1"/>
  <c r="O869" i="29" s="1"/>
  <c r="L247" i="18"/>
  <c r="O279" i="29"/>
  <c r="L182" i="18"/>
  <c r="L184" i="18"/>
  <c r="L205" i="18"/>
  <c r="L215" i="18"/>
  <c r="L228" i="18"/>
  <c r="L236" i="18"/>
  <c r="L244" i="18"/>
  <c r="L226" i="18"/>
  <c r="L192" i="18"/>
  <c r="L234" i="18"/>
  <c r="L203" i="18"/>
  <c r="L207" i="18"/>
  <c r="L145" i="18"/>
  <c r="L161" i="18"/>
  <c r="L166" i="18"/>
  <c r="L172" i="18"/>
  <c r="L210" i="18"/>
  <c r="L220" i="18"/>
  <c r="L252" i="18"/>
  <c r="L143" i="18"/>
  <c r="L177" i="18"/>
  <c r="L188" i="18"/>
  <c r="L196" i="18"/>
  <c r="L218" i="18"/>
  <c r="L239" i="18"/>
  <c r="L149" i="18"/>
  <c r="L153" i="18"/>
  <c r="L163" i="18"/>
  <c r="L199" i="18"/>
  <c r="J63" i="16"/>
  <c r="O160" i="29" s="1"/>
  <c r="J62" i="16"/>
  <c r="O159" i="29" s="1"/>
  <c r="J61" i="16"/>
  <c r="O158" i="29" s="1"/>
  <c r="J60" i="16"/>
  <c r="O157" i="29" s="1"/>
  <c r="J59" i="16"/>
  <c r="O156" i="29" s="1"/>
  <c r="J58" i="16"/>
  <c r="O155" i="29" s="1"/>
  <c r="J57" i="16"/>
  <c r="O154" i="29" s="1"/>
  <c r="J56" i="16"/>
  <c r="O153" i="29" s="1"/>
  <c r="J55" i="16"/>
  <c r="O152" i="29" s="1"/>
  <c r="J54" i="16"/>
  <c r="O151" i="29" s="1"/>
  <c r="J53" i="16"/>
  <c r="O150" i="29" s="1"/>
  <c r="J52" i="16"/>
  <c r="O149" i="29" s="1"/>
  <c r="J51" i="16"/>
  <c r="O148" i="29" s="1"/>
  <c r="J50" i="16"/>
  <c r="O147" i="29" s="1"/>
  <c r="J49" i="16"/>
  <c r="O146" i="29" s="1"/>
  <c r="J48" i="16"/>
  <c r="O145" i="29" s="1"/>
  <c r="J47" i="16"/>
  <c r="O144" i="29" s="1"/>
  <c r="J69" i="16"/>
  <c r="O170" i="29" s="1"/>
  <c r="J68" i="16"/>
  <c r="O169" i="29" s="1"/>
  <c r="O340" i="29" l="1"/>
  <c r="O851" i="29" s="1"/>
  <c r="O355" i="29"/>
  <c r="O867" i="29" s="1"/>
  <c r="O846" i="29"/>
  <c r="O337" i="29"/>
  <c r="O848" i="29" s="1"/>
  <c r="O853" i="29"/>
  <c r="O338" i="29"/>
  <c r="O849" i="29" s="1"/>
  <c r="L63" i="16"/>
  <c r="L255" i="18"/>
  <c r="J67" i="16" l="1"/>
  <c r="O168" i="29" s="1"/>
  <c r="J66" i="16"/>
  <c r="O167" i="29" s="1"/>
  <c r="J65" i="16"/>
  <c r="O166" i="29" s="1"/>
  <c r="O324" i="29" s="1"/>
  <c r="O835" i="29" s="1"/>
  <c r="L69" i="16" l="1"/>
  <c r="L71" i="16" s="1"/>
  <c r="S30" i="11"/>
  <c r="R30" i="11"/>
  <c r="T30" i="11" l="1"/>
  <c r="N86" i="29"/>
  <c r="N350" i="29" s="1"/>
  <c r="N862" i="29" s="1"/>
  <c r="L86" i="29"/>
  <c r="L350" i="29" s="1"/>
  <c r="L862" i="29" s="1"/>
  <c r="J86" i="29"/>
  <c r="J350" i="29" s="1"/>
  <c r="J862" i="29" s="1"/>
  <c r="H86" i="29"/>
  <c r="H350" i="29" s="1"/>
  <c r="H862" i="29" s="1"/>
  <c r="U30" i="11"/>
  <c r="O86" i="29"/>
  <c r="O350" i="29" s="1"/>
  <c r="O862" i="29" s="1"/>
  <c r="K86" i="29"/>
  <c r="K350" i="29" s="1"/>
  <c r="K862" i="29" s="1"/>
  <c r="M86" i="29"/>
  <c r="M350" i="29" s="1"/>
  <c r="M862" i="29" s="1"/>
  <c r="I86" i="29"/>
  <c r="I350" i="29" s="1"/>
  <c r="I862" i="29" s="1"/>
  <c r="U41" i="2"/>
  <c r="O33" i="29" s="1"/>
  <c r="T41" i="2"/>
  <c r="N33" i="29" s="1"/>
  <c r="U40" i="2"/>
  <c r="T40" i="2"/>
  <c r="X39" i="2"/>
  <c r="U39" i="2"/>
  <c r="O31" i="29" s="1"/>
  <c r="T39" i="2"/>
  <c r="N31" i="29" s="1"/>
  <c r="N341" i="29" s="1"/>
  <c r="X38" i="2"/>
  <c r="U38" i="2"/>
  <c r="T38" i="2"/>
  <c r="U36" i="2"/>
  <c r="T36" i="2"/>
  <c r="U35" i="2"/>
  <c r="T35" i="2"/>
  <c r="Z34" i="2"/>
  <c r="U34" i="2"/>
  <c r="T34" i="2"/>
  <c r="U33" i="2"/>
  <c r="T33" i="2"/>
  <c r="Z39" i="2" l="1"/>
  <c r="V34" i="2"/>
  <c r="L30" i="29"/>
  <c r="J30" i="29"/>
  <c r="H30" i="29"/>
  <c r="F30" i="29"/>
  <c r="V39" i="2"/>
  <c r="N30" i="29"/>
  <c r="F31" i="29"/>
  <c r="L31" i="29"/>
  <c r="J31" i="29"/>
  <c r="H31" i="29"/>
  <c r="N852" i="29"/>
  <c r="V36" i="2"/>
  <c r="H32" i="29"/>
  <c r="F32" i="29"/>
  <c r="L32" i="29"/>
  <c r="J32" i="29"/>
  <c r="J33" i="29"/>
  <c r="H33" i="29"/>
  <c r="F33" i="29"/>
  <c r="L33" i="29"/>
  <c r="V41" i="2"/>
  <c r="N32" i="29"/>
  <c r="W41" i="2"/>
  <c r="O32" i="29"/>
  <c r="O341" i="29"/>
  <c r="O852" i="29" s="1"/>
  <c r="W39" i="2"/>
  <c r="O30" i="29"/>
  <c r="K33" i="29"/>
  <c r="I33" i="29"/>
  <c r="G33" i="29"/>
  <c r="M33" i="29"/>
  <c r="K32" i="29"/>
  <c r="I32" i="29"/>
  <c r="M32" i="29"/>
  <c r="G32" i="29"/>
  <c r="M31" i="29"/>
  <c r="I31" i="29"/>
  <c r="I341" i="29" s="1"/>
  <c r="K31" i="29"/>
  <c r="G31" i="29"/>
  <c r="W34" i="2"/>
  <c r="I30" i="29"/>
  <c r="K30" i="29"/>
  <c r="M30" i="29"/>
  <c r="G30" i="29"/>
  <c r="W36" i="2"/>
  <c r="K341" i="29" l="1"/>
  <c r="V42" i="2"/>
  <c r="N310" i="29" s="1"/>
  <c r="F341" i="29"/>
  <c r="F852" i="29" s="1"/>
  <c r="J341" i="29"/>
  <c r="H351" i="29"/>
  <c r="H863" i="29" s="1"/>
  <c r="H309" i="29"/>
  <c r="H341" i="29"/>
  <c r="N309" i="29"/>
  <c r="N311" i="29" s="1"/>
  <c r="N351" i="29"/>
  <c r="J309" i="29"/>
  <c r="J351" i="29"/>
  <c r="J863" i="29" s="1"/>
  <c r="L309" i="29"/>
  <c r="L351" i="29"/>
  <c r="L863" i="29" s="1"/>
  <c r="J852" i="29"/>
  <c r="J871" i="29" s="1"/>
  <c r="L341" i="29"/>
  <c r="F309" i="29"/>
  <c r="F351" i="29"/>
  <c r="F863" i="29" s="1"/>
  <c r="V37" i="2"/>
  <c r="M351" i="29"/>
  <c r="G341" i="29"/>
  <c r="O351" i="29"/>
  <c r="O863" i="29" s="1"/>
  <c r="W42" i="2"/>
  <c r="O310" i="29" s="1"/>
  <c r="O309" i="29"/>
  <c r="M341" i="29"/>
  <c r="M852" i="29" s="1"/>
  <c r="W37" i="2"/>
  <c r="M310" i="29" s="1"/>
  <c r="M309" i="29"/>
  <c r="M863" i="29"/>
  <c r="G852" i="29"/>
  <c r="K351" i="29"/>
  <c r="K863" i="29" s="1"/>
  <c r="K309" i="29"/>
  <c r="K852" i="29"/>
  <c r="G309" i="29"/>
  <c r="G351" i="29"/>
  <c r="G863" i="29" s="1"/>
  <c r="I351" i="29"/>
  <c r="I863" i="29" s="1"/>
  <c r="I309" i="29"/>
  <c r="I852" i="29"/>
  <c r="I310" i="29"/>
  <c r="K310" i="29"/>
  <c r="G310" i="29"/>
  <c r="M311" i="29" l="1"/>
  <c r="J359" i="29"/>
  <c r="O311" i="29"/>
  <c r="L852" i="29"/>
  <c r="L871" i="29" s="1"/>
  <c r="L359" i="29"/>
  <c r="N863" i="29"/>
  <c r="N359" i="29"/>
  <c r="H310" i="29"/>
  <c r="H311" i="29" s="1"/>
  <c r="F310" i="29"/>
  <c r="F311" i="29" s="1"/>
  <c r="L310" i="29"/>
  <c r="L311" i="29" s="1"/>
  <c r="J310" i="29"/>
  <c r="J311" i="29" s="1"/>
  <c r="F359" i="29"/>
  <c r="H852" i="29"/>
  <c r="H871" i="29" s="1"/>
  <c r="H359" i="29"/>
  <c r="F871" i="29"/>
  <c r="I311" i="29"/>
  <c r="K311" i="29"/>
  <c r="G311" i="29"/>
  <c r="M359" i="29"/>
  <c r="G871" i="29"/>
  <c r="O871" i="29"/>
  <c r="O359" i="29"/>
  <c r="M871" i="29"/>
  <c r="K871" i="29"/>
  <c r="I359" i="29"/>
  <c r="K359" i="29"/>
  <c r="G359" i="29"/>
  <c r="I871" i="29"/>
  <c r="N871" i="2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Ирина</author>
  </authors>
  <commentList>
    <comment ref="A31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04"/>
          </rPr>
          <t>Ирина: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<sst xmlns="http://schemas.openxmlformats.org/spreadsheetml/2006/main" count="7857" uniqueCount="1534">
  <si>
    <t>Источник выброса (выделения)</t>
  </si>
  <si>
    <t>Наименование источника выделения</t>
  </si>
  <si>
    <t>Харатеристика топлива</t>
  </si>
  <si>
    <t>Расход топлива</t>
  </si>
  <si>
    <t xml:space="preserve">Доля твердых частиц, улавливаемых в золоуловителе, nз </t>
  </si>
  <si>
    <t>Результаты расчета</t>
  </si>
  <si>
    <t>Вид</t>
  </si>
  <si>
    <t>Зольность , Ap, % (максим./среднее)</t>
  </si>
  <si>
    <t>Содержание серы, Sр, % (максим./среднее)</t>
  </si>
  <si>
    <t>Калорийность, Qpн, МДж/кг</t>
  </si>
  <si>
    <t>f</t>
  </si>
  <si>
    <t>h' SO2</t>
  </si>
  <si>
    <t>h'' SO2</t>
  </si>
  <si>
    <t>КNO2</t>
  </si>
  <si>
    <t>Cсо</t>
  </si>
  <si>
    <t>R</t>
  </si>
  <si>
    <t>q3</t>
  </si>
  <si>
    <t>q4</t>
  </si>
  <si>
    <t>г/с</t>
  </si>
  <si>
    <t>т/год</t>
  </si>
  <si>
    <t>Загрязняющее вещество</t>
  </si>
  <si>
    <t>Код ЗВ</t>
  </si>
  <si>
    <t>M, г/с</t>
  </si>
  <si>
    <t>G, т/год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</si>
  <si>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</si>
  <si>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</si>
  <si>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</si>
  <si>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</si>
  <si>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</si>
  <si>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</si>
  <si>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</si>
  <si>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</si>
  <si>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</si>
  <si>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</si>
  <si>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</si>
  <si>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</si>
  <si>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</si>
  <si>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</si>
  <si>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</si>
  <si>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</si>
  <si>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</si>
  <si>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</si>
  <si>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22</t>
  </si>
  <si>
    <t>2026-2029 гг.</t>
  </si>
  <si>
    <t>0001</t>
  </si>
  <si>
    <t>Котел</t>
  </si>
  <si>
    <t>Дизтопливо</t>
  </si>
  <si>
    <t>0</t>
  </si>
  <si>
    <t>Азота диоксид</t>
  </si>
  <si>
    <t>0301</t>
  </si>
  <si>
    <t>жаротрубный</t>
  </si>
  <si>
    <t>Азота оксид</t>
  </si>
  <si>
    <t>0304</t>
  </si>
  <si>
    <t>время работы котельной</t>
  </si>
  <si>
    <t>8760 ч/год</t>
  </si>
  <si>
    <t>водогрейный М3А</t>
  </si>
  <si>
    <t>Серы диоксид</t>
  </si>
  <si>
    <t>0330</t>
  </si>
  <si>
    <t>труба:</t>
  </si>
  <si>
    <t>температура</t>
  </si>
  <si>
    <t>250 градусов</t>
  </si>
  <si>
    <t xml:space="preserve">Углерод </t>
  </si>
  <si>
    <t>0328</t>
  </si>
  <si>
    <t>высота</t>
  </si>
  <si>
    <t>16 м</t>
  </si>
  <si>
    <t>Углерода оксид</t>
  </si>
  <si>
    <t>0337</t>
  </si>
  <si>
    <t>диаметр</t>
  </si>
  <si>
    <t>800 мм</t>
  </si>
  <si>
    <t>0002</t>
  </si>
  <si>
    <t>0003</t>
  </si>
  <si>
    <t>0004</t>
  </si>
  <si>
    <t>0005</t>
  </si>
  <si>
    <t>190 градусов</t>
  </si>
  <si>
    <t>водогрейный М2А</t>
  </si>
  <si>
    <t>500 мм</t>
  </si>
  <si>
    <t xml:space="preserve">Источник выброса </t>
  </si>
  <si>
    <t>Объект</t>
  </si>
  <si>
    <t>Наименование нефтепродукта</t>
  </si>
  <si>
    <t>Nр</t>
  </si>
  <si>
    <t>Объем резер-вуара, м3</t>
  </si>
  <si>
    <t>ССВ</t>
  </si>
  <si>
    <t>Bоз, тонн</t>
  </si>
  <si>
    <t>Bвл, тонн</t>
  </si>
  <si>
    <t>Уоз</t>
  </si>
  <si>
    <t>Увл</t>
  </si>
  <si>
    <t>Kрmax</t>
  </si>
  <si>
    <t>Gхр</t>
  </si>
  <si>
    <t>Kнп</t>
  </si>
  <si>
    <t>Ci</t>
  </si>
  <si>
    <t>Vчmax, м3/ч</t>
  </si>
  <si>
    <t>Код</t>
  </si>
  <si>
    <t>% содер-жания</t>
  </si>
  <si>
    <t>M1, г/с</t>
  </si>
  <si>
    <t>G1, т/год</t>
  </si>
  <si>
    <t>1</t>
  </si>
  <si>
    <t>2</t>
  </si>
  <si>
    <t>Расходный склад дизельного топлива. Площадка емкостей ДТ</t>
  </si>
  <si>
    <t>0006</t>
  </si>
  <si>
    <t>Резервуар РВСН-100</t>
  </si>
  <si>
    <t>Дизельное топливо</t>
  </si>
  <si>
    <t>Система возврата вытесняемой паровоздушной смеси при сливе топлива в емкости хранения</t>
  </si>
  <si>
    <t>наземный вертикальный</t>
  </si>
  <si>
    <t>99,72</t>
  </si>
  <si>
    <t>Сероводород</t>
  </si>
  <si>
    <t>0333</t>
  </si>
  <si>
    <t>0,28</t>
  </si>
  <si>
    <t>0007</t>
  </si>
  <si>
    <t>Аппаратура и средства перекачки</t>
  </si>
  <si>
    <t>Количество оборудования (всего/в работе)</t>
  </si>
  <si>
    <t>Удельные выделения,Q, кг/час</t>
  </si>
  <si>
    <t>Время работы, Т, ч/год</t>
  </si>
  <si>
    <t>Расходный склад дизельного топлива. Насосная станция ДТ</t>
  </si>
  <si>
    <t>6001</t>
  </si>
  <si>
    <t>Средства</t>
  </si>
  <si>
    <t>Насос центробежный (прием топлива из автоцистерн)</t>
  </si>
  <si>
    <t>1/1</t>
  </si>
  <si>
    <t>Углеводороды предельные С12-С19</t>
  </si>
  <si>
    <t>перекачки</t>
  </si>
  <si>
    <t>Насос центробежный (подача топлива потребителю)</t>
  </si>
  <si>
    <t>3/1</t>
  </si>
  <si>
    <t>Итого по ист.6001:</t>
  </si>
  <si>
    <t>Марка сварочного материала</t>
  </si>
  <si>
    <t>Расход  сварочных материалов</t>
  </si>
  <si>
    <t>Время работы</t>
  </si>
  <si>
    <t>Выбросы ЗВ</t>
  </si>
  <si>
    <t>кг/час</t>
  </si>
  <si>
    <t>кг/год</t>
  </si>
  <si>
    <t>Св08Г2С</t>
  </si>
  <si>
    <t>Пыль 70-20 % SiO2</t>
  </si>
  <si>
    <t>Железа оксид</t>
  </si>
  <si>
    <t>0123</t>
  </si>
  <si>
    <t>Марганец и его соед.</t>
  </si>
  <si>
    <t>0143</t>
  </si>
  <si>
    <t>пропан</t>
  </si>
  <si>
    <t>Углерод оксид</t>
  </si>
  <si>
    <t>Толщина металла, мм</t>
  </si>
  <si>
    <t>Электроды</t>
  </si>
  <si>
    <t>Фториды</t>
  </si>
  <si>
    <t>0344</t>
  </si>
  <si>
    <t>2908</t>
  </si>
  <si>
    <t>Фтористые газ.соед</t>
  </si>
  <si>
    <t>0342</t>
  </si>
  <si>
    <t>№ ист.</t>
  </si>
  <si>
    <t>Степень очистки, %</t>
  </si>
  <si>
    <t xml:space="preserve">Взвешенные частицы </t>
  </si>
  <si>
    <t>Пыль абразивная</t>
  </si>
  <si>
    <t>2030 год и последующие годы</t>
  </si>
  <si>
    <t>2027 год и последующие годы</t>
  </si>
  <si>
    <t>0008</t>
  </si>
  <si>
    <t>01</t>
  </si>
  <si>
    <t>Наименование источника выброса</t>
  </si>
  <si>
    <t>Монтажно-сварочная чугунная плита 3х2</t>
  </si>
  <si>
    <t>Проволока</t>
  </si>
  <si>
    <t>Технологический процесс</t>
  </si>
  <si>
    <t xml:space="preserve">Полуавтоматическая сварка в среде углекислого газа </t>
  </si>
  <si>
    <t>Резка металлов и сплавов</t>
  </si>
  <si>
    <t>УОНИ-13/45</t>
  </si>
  <si>
    <t>Итого по ист.000801:</t>
  </si>
  <si>
    <t>№ ИЗ</t>
  </si>
  <si>
    <t>Участок</t>
  </si>
  <si>
    <t>Тип и марка станка</t>
  </si>
  <si>
    <t>k</t>
  </si>
  <si>
    <t>T,  ч/год</t>
  </si>
  <si>
    <t>Выделения ЗВ</t>
  </si>
  <si>
    <t>-</t>
  </si>
  <si>
    <t>02</t>
  </si>
  <si>
    <t>Слесарная мастерская</t>
  </si>
  <si>
    <t>Станок для заточки и правки инструмента, d=300 мм</t>
  </si>
  <si>
    <t>n</t>
  </si>
  <si>
    <t>Оборудование</t>
  </si>
  <si>
    <t>Используемое вещество</t>
  </si>
  <si>
    <t>S, м2</t>
  </si>
  <si>
    <t>t, ч/год</t>
  </si>
  <si>
    <t>кальциниро-ванная сода</t>
  </si>
  <si>
    <t>Натрия карбонат (сода кальцинированная)</t>
  </si>
  <si>
    <t>0155</t>
  </si>
  <si>
    <t>Керосин</t>
  </si>
  <si>
    <t>2732</t>
  </si>
  <si>
    <t>000803</t>
  </si>
  <si>
    <t>Установка для мойки деталей                    Универсал-600М</t>
  </si>
  <si>
    <t>Номер ИЗ</t>
  </si>
  <si>
    <t>Т, ч/год</t>
  </si>
  <si>
    <t>Наименование загрязняющего вещества</t>
  </si>
  <si>
    <t>Выбросы загрязняющих веществ</t>
  </si>
  <si>
    <t>000804</t>
  </si>
  <si>
    <t>КСО-80-И - Абразивоструйная камера</t>
  </si>
  <si>
    <t>Стол сварщика с вытяжным зонтом ССН-02</t>
  </si>
  <si>
    <t>Ручная дуговая сварка сталей штучными электродами</t>
  </si>
  <si>
    <t>Стол сварщика сварочный пост ССУ-02-03</t>
  </si>
  <si>
    <t>Вращатель сварочный универсальный СВУ-01</t>
  </si>
  <si>
    <t>Тип транспортного средства</t>
  </si>
  <si>
    <t>Грузо-подъем-ность</t>
  </si>
  <si>
    <t>tх1, мин</t>
  </si>
  <si>
    <t>tх2, мин.</t>
  </si>
  <si>
    <t xml:space="preserve"> Nkв</t>
  </si>
  <si>
    <t xml:space="preserve"> Nk</t>
  </si>
  <si>
    <t>А</t>
  </si>
  <si>
    <t>Dn</t>
  </si>
  <si>
    <t>L1n</t>
  </si>
  <si>
    <t>L2n</t>
  </si>
  <si>
    <t>tpr мин</t>
  </si>
  <si>
    <t>Мхх, г/мин.</t>
  </si>
  <si>
    <t>Мnpik г/мин</t>
  </si>
  <si>
    <t>Mlik, г/мин</t>
  </si>
  <si>
    <t>М1</t>
  </si>
  <si>
    <t>М2</t>
  </si>
  <si>
    <t>Мi, т/период</t>
  </si>
  <si>
    <t>Т</t>
  </si>
  <si>
    <t>П</t>
  </si>
  <si>
    <t>Х</t>
  </si>
  <si>
    <t>Грузовые авт.</t>
  </si>
  <si>
    <t>(дизель)</t>
  </si>
  <si>
    <t>Углерод</t>
  </si>
  <si>
    <t>05</t>
  </si>
  <si>
    <t>Камаз 43118</t>
  </si>
  <si>
    <t>Участок по ремонту кранового оборудования</t>
  </si>
  <si>
    <t>Итого от ист.000802:</t>
  </si>
  <si>
    <t>Сварочно-сборочный стол ССМ-04</t>
  </si>
  <si>
    <t>0009</t>
  </si>
  <si>
    <t>Участок по ремонту насосного оборудования</t>
  </si>
  <si>
    <t>Стол сварочно-зачистной СШЗ-01-06</t>
  </si>
  <si>
    <t>Процесс</t>
  </si>
  <si>
    <t>Время работы, ч/год</t>
  </si>
  <si>
    <t>Удел. выдел. q, г/кг</t>
  </si>
  <si>
    <t>Свинец и его соед.</t>
  </si>
  <si>
    <t>0184</t>
  </si>
  <si>
    <t>Олова оксид</t>
  </si>
  <si>
    <t>0168</t>
  </si>
  <si>
    <t>04</t>
  </si>
  <si>
    <t>Паяльные работы</t>
  </si>
  <si>
    <t>Канифоль</t>
  </si>
  <si>
    <t>Используемый материал</t>
  </si>
  <si>
    <t>Масса израсходованного материала, кг/год</t>
  </si>
  <si>
    <t>Канифоль глицериновый эфир</t>
  </si>
  <si>
    <t>2844</t>
  </si>
  <si>
    <t>Кол-во паров канифоли, ед.</t>
  </si>
  <si>
    <t>ПОС-40</t>
  </si>
  <si>
    <t xml:space="preserve">g, г/с хм2 </t>
  </si>
  <si>
    <t>Оборудование/процесс</t>
  </si>
  <si>
    <t>Удаление жировых загрязнений с поверхности деталей (обезжиривание)</t>
  </si>
  <si>
    <t>спирт этиловый</t>
  </si>
  <si>
    <t>Спирт этиловый</t>
  </si>
  <si>
    <t>1061</t>
  </si>
  <si>
    <t xml:space="preserve">Электроремонтный </t>
  </si>
  <si>
    <t>участок</t>
  </si>
  <si>
    <t>Механический участок</t>
  </si>
  <si>
    <t>Стол сварочный 3D WT3D-1212</t>
  </si>
  <si>
    <t>Промышленная ультразвуковая ванна  Vilitek VBS-500D</t>
  </si>
  <si>
    <t>гидроксид натрия</t>
  </si>
  <si>
    <t>Гидроксид натрия</t>
  </si>
  <si>
    <t>0150</t>
  </si>
  <si>
    <t>Помещение ремонтно-механической мастерской (Вентсистема В1)</t>
  </si>
  <si>
    <t>Помещение участковых работ (Вентсистема В2)</t>
  </si>
  <si>
    <t>Помещение ремонтно-механической мастерской (Вентсистема В13, местный отсос)</t>
  </si>
  <si>
    <t>Помещение участковых работ (Вентсистема В11, местный отсос)</t>
  </si>
  <si>
    <t>Помещение участковых работ (Вентсистема В12, местный отсос)</t>
  </si>
  <si>
    <t>Длина реза</t>
  </si>
  <si>
    <t>м.п./час</t>
  </si>
  <si>
    <t>м.п./год</t>
  </si>
  <si>
    <t>Удел. выдел. G, г/кг,  г/м</t>
  </si>
  <si>
    <t>Помещение сварки спецматериалов (Вентсистема В3)</t>
  </si>
  <si>
    <t>0010</t>
  </si>
  <si>
    <t>ОЗЛ-6</t>
  </si>
  <si>
    <t>Хром (VI) оксид</t>
  </si>
  <si>
    <t>0203</t>
  </si>
  <si>
    <t>Угловая шлифовальная машина УШМ (болгарка)</t>
  </si>
  <si>
    <t>Сварочный участок спецматериалов</t>
  </si>
  <si>
    <t>Пятисторонний сварочный стол SSTW fix</t>
  </si>
  <si>
    <t>Св 08Х20Н9Г7Т</t>
  </si>
  <si>
    <t>Никель оксид</t>
  </si>
  <si>
    <t>0164</t>
  </si>
  <si>
    <t>Проволока сварочная титан</t>
  </si>
  <si>
    <t>Титан диоксид</t>
  </si>
  <si>
    <t>0118</t>
  </si>
  <si>
    <t>001003</t>
  </si>
  <si>
    <t>Газовая резка титана</t>
  </si>
  <si>
    <t>Итого по ист.001001:</t>
  </si>
  <si>
    <t>Итого от ист.001002:</t>
  </si>
  <si>
    <t>Помещение сварки спецматериалов (Вентсистема В14, местный отсос)</t>
  </si>
  <si>
    <t>Помещение ремонта оборудования КС (Вентсистема В4)</t>
  </si>
  <si>
    <t>0011</t>
  </si>
  <si>
    <t xml:space="preserve">Помещение ремонта оборудования КС </t>
  </si>
  <si>
    <t>Стол сварочно-сборный ССД-11</t>
  </si>
  <si>
    <t>Помещение ремонта оборудования КС (Вентсистема В15, местный отсос)</t>
  </si>
  <si>
    <t>0012</t>
  </si>
  <si>
    <t>0013</t>
  </si>
  <si>
    <t>Итого по ист.001301:</t>
  </si>
  <si>
    <t>Итого от ист.001302:</t>
  </si>
  <si>
    <t>001303</t>
  </si>
  <si>
    <t>0014</t>
  </si>
  <si>
    <t>0015</t>
  </si>
  <si>
    <t>Итого от ист.001502:</t>
  </si>
  <si>
    <t>001503</t>
  </si>
  <si>
    <t>0016</t>
  </si>
  <si>
    <t>Помещение ремонтного бокса (Вентсистема В5)</t>
  </si>
  <si>
    <t>0017</t>
  </si>
  <si>
    <t>Кран КС 65713-1</t>
  </si>
  <si>
    <t>свыше 16 т</t>
  </si>
  <si>
    <t>Конст-ция резервуара, м3</t>
  </si>
  <si>
    <t>назем-ный</t>
  </si>
  <si>
    <t>Объем резервуара, л</t>
  </si>
  <si>
    <t>Категория машин</t>
  </si>
  <si>
    <t>Номинальная мощность двигатель, кВт</t>
  </si>
  <si>
    <t>Мpr, г/мин</t>
  </si>
  <si>
    <t>Tpr мин</t>
  </si>
  <si>
    <t>ML, г/мин</t>
  </si>
  <si>
    <t>Sn, км</t>
  </si>
  <si>
    <t xml:space="preserve"> Ntk</t>
  </si>
  <si>
    <t>Грузоподъемность, т</t>
  </si>
  <si>
    <t xml:space="preserve">Грузовой </t>
  </si>
  <si>
    <t>автотранспорт</t>
  </si>
  <si>
    <t>(дизтопливо)</t>
  </si>
  <si>
    <t>Помещение ремонтного бокса (Вентсистема В16, местный отсос)</t>
  </si>
  <si>
    <t>0018</t>
  </si>
  <si>
    <t>001901</t>
  </si>
  <si>
    <t>Помещение электролаборатории, лаборатории промэлектроники, мастерской АСУТП и КИП (Вентсистема В8)</t>
  </si>
  <si>
    <t>Удаление жировых загрязнений с поверхности деталей (обезжиривание) в электролаборатории</t>
  </si>
  <si>
    <t>Удаление жировых загрязнений с поверхности деталей (обезжиривание) в мастерской АСУТП и КИП</t>
  </si>
  <si>
    <t>Паяльные работы в электролаборатории</t>
  </si>
  <si>
    <t>0019        02</t>
  </si>
  <si>
    <t>Паяльные работы в мастерской АСУТП и КИП</t>
  </si>
  <si>
    <t>Кран-манипулятор</t>
  </si>
  <si>
    <t>свыше 5 до 8 т</t>
  </si>
  <si>
    <t>Погрузчик вилочный</t>
  </si>
  <si>
    <t>до 2 т</t>
  </si>
  <si>
    <t>свыше 2 до 5 т</t>
  </si>
  <si>
    <t>Итого по ист.001701:</t>
  </si>
  <si>
    <t>Итого по ист.0018:</t>
  </si>
  <si>
    <t>Плоскошлифовальный станок HFS 40100 F Advance,  d=300 мм</t>
  </si>
  <si>
    <t>Круглошлифовальный станок RSM 1000 С, d=400 мм</t>
  </si>
  <si>
    <t>0020</t>
  </si>
  <si>
    <t xml:space="preserve"> Камаз 43118</t>
  </si>
  <si>
    <t>Тип транспортного средства / Номинальная мощность двигателя, кВт</t>
  </si>
  <si>
    <t xml:space="preserve"> Nkl</t>
  </si>
  <si>
    <t>Tхm, мин</t>
  </si>
  <si>
    <t>Txs,  мин</t>
  </si>
  <si>
    <t>Tv1</t>
  </si>
  <si>
    <t>Tv2</t>
  </si>
  <si>
    <t>Tv1n</t>
  </si>
  <si>
    <t>Tv2n</t>
  </si>
  <si>
    <t>161-260</t>
  </si>
  <si>
    <t>36-60</t>
  </si>
  <si>
    <t xml:space="preserve">Вилочный погрузчик </t>
  </si>
  <si>
    <t>D20-4х</t>
  </si>
  <si>
    <t>Масло минеральное нефтяное</t>
  </si>
  <si>
    <t>Итого по ист.001902:</t>
  </si>
  <si>
    <t>0021</t>
  </si>
  <si>
    <t>Склад производственный, складское помещение №1 (Вентсистема В11, местный отсос)</t>
  </si>
  <si>
    <t>0022</t>
  </si>
  <si>
    <t>0023</t>
  </si>
  <si>
    <t>Склад производственный, складское помещение №4 (Вентсистема В12, местный отсос)</t>
  </si>
  <si>
    <t>0024</t>
  </si>
  <si>
    <t>0025</t>
  </si>
  <si>
    <t>0026</t>
  </si>
  <si>
    <t>Склад производственный, складское помещение №5 (Вентсистема В13, местный отсос)</t>
  </si>
  <si>
    <t>0027</t>
  </si>
  <si>
    <t>Склад производственный, помещение погрузчиков (Вентсистема В6)</t>
  </si>
  <si>
    <t>0028</t>
  </si>
  <si>
    <t>D50-4i</t>
  </si>
  <si>
    <t>61-100</t>
  </si>
  <si>
    <t>Склад химических реагентов</t>
  </si>
  <si>
    <t>6002</t>
  </si>
  <si>
    <t>Кран автомобильный</t>
  </si>
  <si>
    <t>TADANO GR-500EX</t>
  </si>
  <si>
    <t>Итого по ист.6002:</t>
  </si>
  <si>
    <t>2029 год и последующие годы</t>
  </si>
  <si>
    <t>Склад концентрата</t>
  </si>
  <si>
    <t>Открытый склад оборудования и материалов</t>
  </si>
  <si>
    <t>6004</t>
  </si>
  <si>
    <t>Итого по ист.6004:</t>
  </si>
  <si>
    <t>0029</t>
  </si>
  <si>
    <t>N ист</t>
  </si>
  <si>
    <t>Наименование источника</t>
  </si>
  <si>
    <t>Наименование материала</t>
  </si>
  <si>
    <t>К1</t>
  </si>
  <si>
    <t>К2</t>
  </si>
  <si>
    <t>К3</t>
  </si>
  <si>
    <t>К4</t>
  </si>
  <si>
    <t>К5</t>
  </si>
  <si>
    <t>К6</t>
  </si>
  <si>
    <t>К7</t>
  </si>
  <si>
    <t>К8</t>
  </si>
  <si>
    <t>К9</t>
  </si>
  <si>
    <t>В'</t>
  </si>
  <si>
    <t>G</t>
  </si>
  <si>
    <r>
      <t>G</t>
    </r>
    <r>
      <rPr>
        <vertAlign val="subscript"/>
        <sz val="9"/>
        <rFont val="Times New Roman"/>
        <family val="1"/>
        <charset val="204"/>
      </rPr>
      <t>1</t>
    </r>
  </si>
  <si>
    <t>q'</t>
  </si>
  <si>
    <t>F</t>
  </si>
  <si>
    <t>t</t>
  </si>
  <si>
    <t>Тс</t>
  </si>
  <si>
    <t>Тд</t>
  </si>
  <si>
    <t>ЗВ</t>
  </si>
  <si>
    <t>Результаты расчетов</t>
  </si>
  <si>
    <t>т/час</t>
  </si>
  <si>
    <t>ч/сут</t>
  </si>
  <si>
    <t>Хранение</t>
  </si>
  <si>
    <t>Склад известняка</t>
  </si>
  <si>
    <t>Разгрузка из автосамосвала на склад</t>
  </si>
  <si>
    <t>известняк</t>
  </si>
  <si>
    <t>Укладка в штабель</t>
  </si>
  <si>
    <t>Итого по ист.600501:</t>
  </si>
  <si>
    <t>Погрузка со склада</t>
  </si>
  <si>
    <t>6005</t>
  </si>
  <si>
    <t>Автосамосвал</t>
  </si>
  <si>
    <t>Shacman-SX3256DR384</t>
  </si>
  <si>
    <t>Погрузчик</t>
  </si>
  <si>
    <t>ZL50</t>
  </si>
  <si>
    <t>Итого по ист.600502:</t>
  </si>
  <si>
    <t>№ п/п</t>
  </si>
  <si>
    <t>Наименование источника выделения ЗВ</t>
  </si>
  <si>
    <t>Наличие очистки, КПД очистки, %</t>
  </si>
  <si>
    <t>Наименование вредных веществ</t>
  </si>
  <si>
    <t>Выбросы вредных веществ</t>
  </si>
  <si>
    <t xml:space="preserve">Пыль неорганическая, содержащая двуокись кремния в %: более 70 </t>
  </si>
  <si>
    <t>2907</t>
  </si>
  <si>
    <t>Диоксид серы</t>
  </si>
  <si>
    <t>Свинец и его неорганические соединения</t>
  </si>
  <si>
    <t>Помещение/Отделение</t>
  </si>
  <si>
    <t>0030</t>
  </si>
  <si>
    <t xml:space="preserve">Углерод оксид </t>
  </si>
  <si>
    <t>Диоксид азота</t>
  </si>
  <si>
    <t>Оксид азота</t>
  </si>
  <si>
    <t>Серная кислота</t>
  </si>
  <si>
    <t>0322</t>
  </si>
  <si>
    <t>Азотная кислота</t>
  </si>
  <si>
    <t>0302</t>
  </si>
  <si>
    <t>Соляная кислота</t>
  </si>
  <si>
    <t>0316</t>
  </si>
  <si>
    <t>Хлор</t>
  </si>
  <si>
    <t>0349</t>
  </si>
  <si>
    <t>0031</t>
  </si>
  <si>
    <t>Помещение ФХМА экологии (Местный отсос)</t>
  </si>
  <si>
    <t>Атомно-абсорбционный спектрометр Analist 400/ICE3300 (LAB-08-00412), Шкаф вытяжной 1200 ВШк KS-12 (LAB-14-00412)</t>
  </si>
  <si>
    <t>Помещение ФХМА (ААС анализ) (Местный отсос)</t>
  </si>
  <si>
    <t>Атомно-абсорбционный спектрометр Analist 400/ICE3300 (LAB-06-00411), Шкаф вытяжной 1200 ВШк KS-12 (LAB-14-00411), Атомно-абсорбционный спектрометр Analist 400/ICE3300 (LAB-07-00411)</t>
  </si>
  <si>
    <t>0032</t>
  </si>
  <si>
    <t>n*</t>
  </si>
  <si>
    <t>Примечание: *принято согласно проектных решений.</t>
  </si>
  <si>
    <t>Помещение склада извести (Общеобменная вентиляция)</t>
  </si>
  <si>
    <t>г/с*</t>
  </si>
  <si>
    <t>3119</t>
  </si>
  <si>
    <t>Кальций карбонат</t>
  </si>
  <si>
    <t>Мягкий контейнер с известью МРК-2</t>
  </si>
  <si>
    <t>свыше 8 до 16 т</t>
  </si>
  <si>
    <t>0033</t>
  </si>
  <si>
    <t>Склад извести (Вентсистемы ВЕ1, ВЕ2, ВЕ3, ВЕ4, ВЕ5)</t>
  </si>
  <si>
    <t>Итого по ист.001003:</t>
  </si>
  <si>
    <t>Итого по ист.001901:</t>
  </si>
  <si>
    <t>0034</t>
  </si>
  <si>
    <t>Электрощитовая, Дистилляторная, Препараторская, Пневмопочта, Связевая, Помещение весовой ПЛ, Помещение для разварки корольков и прокалки корточек и анализа готовой продукции, Помещение плавки и купелирования, Венткамера вытяжная, Помещение весовой АЛ и экологии, Химический зал, Помещение анализа и контроля атмосферного воздуха, промышленных выбросов и воздуха рабочей зоны, Экологическая лаборатория водных объектов, Склад ЗИП, расходных материалов и средств иднивидуальной защиты, Архив, Склад, Помещение для шихтовки проб, Помещение для подготовки шихты, Помещение ФХМА (ААС анализ), Помещение ФХМА экологии, Помещение для розлива кислот и хранения прекурсоров, Узел ввода (Общеобменная вентиляция)</t>
  </si>
  <si>
    <t>Оксид меди</t>
  </si>
  <si>
    <t>0146</t>
  </si>
  <si>
    <t>0035</t>
  </si>
  <si>
    <t>0036</t>
  </si>
  <si>
    <t>Экологическая лаборатория водных объектов (Местный отсос)</t>
  </si>
  <si>
    <t>0037</t>
  </si>
  <si>
    <t>Помещение препараторской (Местный отсос)</t>
  </si>
  <si>
    <t>Шкаф вытяжной для реактивов 
600 ШР-М (LAB-01-00409
LAB-02-00409
LAB-03-00409
LAB-04-00409)</t>
  </si>
  <si>
    <t>0038</t>
  </si>
  <si>
    <t>Помещение для разварки корольков и покалки корточек и анализа готовой продукции (Местный отсос)</t>
  </si>
  <si>
    <t>Шкаф вытяжной печной ШВРП -1,6.0,9.2,1 (LAB-01-00405)</t>
  </si>
  <si>
    <t>0039</t>
  </si>
  <si>
    <t>Помещение плавки и купелирования (Местный отсос)</t>
  </si>
  <si>
    <t>Электропечь шахтная тигельная ЭПШТ-12 (LAB-01-00404
LAB-02-00404)</t>
  </si>
  <si>
    <t>0040</t>
  </si>
  <si>
    <t>Шкаф вытяжной ШВПэ – 1,3.1,0.2,1 (LAB-05-00404
LAB-06-00404)</t>
  </si>
  <si>
    <t>0041</t>
  </si>
  <si>
    <t>Помещение анализа и контроля атмосферного воздуха, промышленных выбросов и воздуха рабочей зоны (Местный отсос)</t>
  </si>
  <si>
    <t>Шкаф вытяжной 1800 ВШк, KS-12 (LAB-01-00415), Шкаф вытяжной для реактивов 600 ШР-М (LAB-13-00415)</t>
  </si>
  <si>
    <t>0042</t>
  </si>
  <si>
    <t>Химический зал (Местный отсос)</t>
  </si>
  <si>
    <t>0043</t>
  </si>
  <si>
    <t>Помещение для розлива кислот и хранения прекурсоров (Местный отсос)</t>
  </si>
  <si>
    <t>Шкаф вытяжной 1200ВШк KS-12 (LAB-06-00407)</t>
  </si>
  <si>
    <t>0044</t>
  </si>
  <si>
    <t>Скруббер, 90%</t>
  </si>
  <si>
    <t>Участок автоклавного окисления (Общеобменная вентиляция)</t>
  </si>
  <si>
    <t>Грохот защитный питания автоклава (SCV-01-00202)</t>
  </si>
  <si>
    <t>0045</t>
  </si>
  <si>
    <t>Участок автоклавного окисления, Венткамера (Общеобменная вентиляция)</t>
  </si>
  <si>
    <t>0046</t>
  </si>
  <si>
    <t>0047</t>
  </si>
  <si>
    <t>0048</t>
  </si>
  <si>
    <t>Участок автоклавного окисления, Участок растаривания и подготовки концентратов (Местный отсос)</t>
  </si>
  <si>
    <t>Грохот защитный питания автоклава (SCV-01-00202), Емкость горячей воды (TKW-45-00201), Грохот щепоуловитель (SCV-41-00201), Зумпф разгрузки мельницы (SUM-42-00201), Кластер гидроциклонов Cavex250 (HCY-42-00201), Зумпф насосов готового продукта (SUM-43-00201), Емкость сбора дренажей (TKA-44-00201)</t>
  </si>
  <si>
    <t>Участок растаривания и подготовки концентратов (Общеобменная вентиляция)</t>
  </si>
  <si>
    <t>Емкость горячей воды (TKW-45-00201), Грохот щепоуловитель (SCV-41-00201), Зумпф разгрузки мельницы (SUM-42-00201), Кластер гидроциклонов Cavex250 (HCY-42-00201), Зумпф насосов готового продукта (SUM-43-00201), Емкость сбора дренажей (TKA-44-00201), Аспирация</t>
  </si>
  <si>
    <t>Участок растаривания и подготовки концентратов (Местный отсос)</t>
  </si>
  <si>
    <t>Аспирация</t>
  </si>
  <si>
    <t>Пыль неорган. 70-20% двуокиси кремния</t>
  </si>
  <si>
    <t>Автомобиль Hyundai HD320</t>
  </si>
  <si>
    <t>03</t>
  </si>
  <si>
    <t>Гидрометаллургический цех (ГМЦ). Участок автоклавного окисления (Вентсистема В1)</t>
  </si>
  <si>
    <t>Гидрометаллургический цех (ГМЦ). Участок автоклавного окисления (Вентсистема В2)</t>
  </si>
  <si>
    <t>Гидрометаллургический цех (ГМЦ). Участок автоклавного окисления (Вентсистема В3)</t>
  </si>
  <si>
    <t>Гидрометаллургический цех (ГМЦ). Участок автоклавного окисления (Вентсистема В4)</t>
  </si>
  <si>
    <t>004801</t>
  </si>
  <si>
    <t>Центральная аналитическая лаборатория (ЦАЛ)</t>
  </si>
  <si>
    <t>Гидрометаллургический цех (ГМЦ)</t>
  </si>
  <si>
    <t>0049</t>
  </si>
  <si>
    <t>0050</t>
  </si>
  <si>
    <t>Гидрометаллургический цех (ГМЦ). Участок подготовки воды и пара  (Вентсистема В19)</t>
  </si>
  <si>
    <t>0051</t>
  </si>
  <si>
    <t>005201</t>
  </si>
  <si>
    <t>0052</t>
  </si>
  <si>
    <t>Гидрометаллургический цех (ГМЦ). Участок автоклавного окисления (Вентсистема В20)</t>
  </si>
  <si>
    <t>005301</t>
  </si>
  <si>
    <t>Гидрометаллургический цех (ГМЦ). Участок автоклавного окисления (Вентсистема В21)</t>
  </si>
  <si>
    <t>0053</t>
  </si>
  <si>
    <t>Гидрометаллургический цех (ГМЦ). Участок автоклавного окисления (Вентсистема В22)</t>
  </si>
  <si>
    <t>0054</t>
  </si>
  <si>
    <t>005501</t>
  </si>
  <si>
    <t>Гидрометаллургический цех (ГМЦ). Участок автоклавного окисления (Вентсистема В23)</t>
  </si>
  <si>
    <t>0055</t>
  </si>
  <si>
    <t>005601</t>
  </si>
  <si>
    <t>Гидрометаллургический цех (ГМЦ). Участок автоклавного окисления (Вентсистема В24)</t>
  </si>
  <si>
    <t>0056</t>
  </si>
  <si>
    <t>005701</t>
  </si>
  <si>
    <t>Гидрометаллургический цех (ГМЦ). Участок автоклавного окисления (Вентсистема В25)</t>
  </si>
  <si>
    <t>0057</t>
  </si>
  <si>
    <t>0058</t>
  </si>
  <si>
    <t>005901</t>
  </si>
  <si>
    <t>Гидрометаллургический цех (ГМЦ). Участок растаривания и подготовки концентратов (Вентсистема В31a, В31b)</t>
  </si>
  <si>
    <t>0059</t>
  </si>
  <si>
    <t>МАЗ-630308-223</t>
  </si>
  <si>
    <t>Гидрометаллургический цех (ГМЦ). Участок растаривания и подготовки концентратов (Вентсистема В32)</t>
  </si>
  <si>
    <t>0060</t>
  </si>
  <si>
    <t>Гидрометаллургический цех (ГМЦ). Участок растаривания и подготовки концентратов (Вентсистема В33)</t>
  </si>
  <si>
    <t>0061</t>
  </si>
  <si>
    <t>006201</t>
  </si>
  <si>
    <t>Гидрометаллургический цех (ГМЦ). Участок растаривания и подготовки концентратов (Вентсистема В34)</t>
  </si>
  <si>
    <t>0062</t>
  </si>
  <si>
    <t>006301</t>
  </si>
  <si>
    <t>Гидрометаллургический цех (ГМЦ). Участок растаривания и подготовки концентратов (Вентсистема В35)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</si>
  <si>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</si>
  <si>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</si>
  <si>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</si>
  <si>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</si>
  <si>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</si>
  <si>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</si>
  <si>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</si>
  <si>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</si>
  <si>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</si>
  <si>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</si>
  <si>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Склад производственный, складское помещение №1 (Вентсистема В1а, В1b)</t>
  </si>
  <si>
    <t>Склад производственный, складское помещение №2 (Вентсистема В2а, В2b)</t>
  </si>
  <si>
    <t>Склад производственный, складское помещение №4 (Вентсистема  В3а, В3b)</t>
  </si>
  <si>
    <t>Склад производственный, складское помещение №3 (Вентсистема В4а, В4b)</t>
  </si>
  <si>
    <t>Склад производственный, складское помещение №5 (Вентсистема В5а, В5b)</t>
  </si>
  <si>
    <t>Насосная участка охлаждения пульпы (Насосная УОП)</t>
  </si>
  <si>
    <t>Насосная (Общеобменная вентиляция)</t>
  </si>
  <si>
    <t>Емкость хранения раствора щелочи (TKW-04-00208)</t>
  </si>
  <si>
    <t>0073</t>
  </si>
  <si>
    <t>Насосная, ПСУ (Общеобменная вентиляция)</t>
  </si>
  <si>
    <t>0074</t>
  </si>
  <si>
    <t>0075</t>
  </si>
  <si>
    <t>0076</t>
  </si>
  <si>
    <t>Насосная (Местный отсос)</t>
  </si>
  <si>
    <t>0077</t>
  </si>
  <si>
    <t>007301</t>
  </si>
  <si>
    <t>Насосная участка охлаждения пульпы (Насосная УОП) (Вентсистема В1)</t>
  </si>
  <si>
    <t>Насосная участка охлаждения пульпы (Насосная УОП) (Вентсистема В2)</t>
  </si>
  <si>
    <t>007601</t>
  </si>
  <si>
    <t>Насосная участка охлаждения пульпы (Насосная УОП) (Вентсистема В3)</t>
  </si>
  <si>
    <t>Насосная участка охлаждения пульпы (Насосная УОП) (Вентсистема В4)</t>
  </si>
  <si>
    <t>Корпус CIL</t>
  </si>
  <si>
    <t>Участок сорбционного выщелачивания, Помещение аппаратчиков CIL, Профилактический пункт CIL, Помещение инвентаря, Профилактический пункт INCO, Помещение персонала, Помещение расхода цианида (Общеобменная вентиляция)</t>
  </si>
  <si>
    <t>Грохот щепоуловитель (SCV-01А-21101, SCV-01B-21101), Сито дуговое (SCS-01-21101), Емкости сорбционного выщелачивания (TKA-01-21101÷TKA-07-21101), Станция растаривания контейнеров "Биг-Бэг" (NSE-09-21101), Емкость оттирки угля (TKA-10-21101), Грохот ввода угля, вибрационный, высокочастотный, однодечный SDS 0812-6М (SCV-11-21101/NSE-11-21101), Бункер хранения активированного угля (BNK-12-21101), Емкость сбора угольной мелочи (TKW-13-21101), Грохот (насыщенного угля) вибрационный, высокочастотный, однодечный, HDS 412 (NSE-15-21101/SCV-15-21101), Сито дуговое (SCS-17-21101), Емкость расходная пиросульфита натрия (TKW-02-21102), Емкость расходная NaCN (TKW-14-21101)</t>
  </si>
  <si>
    <t>0078</t>
  </si>
  <si>
    <t>Гидроцианид</t>
  </si>
  <si>
    <t>0317</t>
  </si>
  <si>
    <t>0214</t>
  </si>
  <si>
    <t>Дигидроксид кальция</t>
  </si>
  <si>
    <t>Помещение INCO процесса (Общеобменная вентиляция)</t>
  </si>
  <si>
    <t>Емкость INCO процесса (TKA-01-21102)</t>
  </si>
  <si>
    <t>0079</t>
  </si>
  <si>
    <t>Участок приготовления известкового/известнякового молока, Помещение аппаратчика ИиИм (Общеобменная вентиляция)</t>
  </si>
  <si>
    <t>0080</t>
  </si>
  <si>
    <t>Кальций оксид</t>
  </si>
  <si>
    <t>0128</t>
  </si>
  <si>
    <t>Участок контрольной фильтрации (Общеобменная вентиляция)</t>
  </si>
  <si>
    <t>0081</t>
  </si>
  <si>
    <t>Участок обратноосмотической очистки растворов, Операторская, Помещение приготовления реагентов (Общеобменная вентиляция)</t>
  </si>
  <si>
    <t>Емкость моющих растворов (TKW-09-21116, TKW-10-21116), Емкость приготовления раствора едкого натра (TKА-11-21116), Емкость приготовления раствора ЭДТА (TKА-13-21116), Емкость приготовления раствора антискаланта (TKА-15-21116), Возвращение воздуха в помещение после очистки в фильтре</t>
  </si>
  <si>
    <t>0082</t>
  </si>
  <si>
    <t>пентаНатрий трифосфат (Натрия триполифосфат)</t>
  </si>
  <si>
    <t>0161</t>
  </si>
  <si>
    <t>Участок фильтрации угольной мелочи, Помещение охраны, Гардероб верхней одежды, Помещение мастеров (Общеобменная вентиляция)</t>
  </si>
  <si>
    <t>0083</t>
  </si>
  <si>
    <t>Сульфаминовая кислота (Аминосульфоновая кислота)</t>
  </si>
  <si>
    <t>1549</t>
  </si>
  <si>
    <t>Участок получения сплава доре, Автомобильный тамбур (Общеобменная вентиляция)</t>
  </si>
  <si>
    <t>Электропечь индукционная тигельная (FUI-02А-21109), Электропечь индукционная тигельная (FUI-02В-21109), Электропечь, Дробилка щековая лабораторная ЩД-15 (CR-04-21109), Возвращение воздуха в помещение после очистки в фильтре</t>
  </si>
  <si>
    <t>0084</t>
  </si>
  <si>
    <t>Участок электролиза (Общеобменная вентиляция)</t>
  </si>
  <si>
    <t>0085</t>
  </si>
  <si>
    <t>Аммиак</t>
  </si>
  <si>
    <t>0303</t>
  </si>
  <si>
    <t>0086</t>
  </si>
  <si>
    <t>Участок приготовления реагентов (сульфаминовой кислоты и метабисульфата), Участок приготовления раствора цианида натрия (Общеобменная вентиляция)</t>
  </si>
  <si>
    <t>0087</t>
  </si>
  <si>
    <t>Железо сульфат</t>
  </si>
  <si>
    <t>0121</t>
  </si>
  <si>
    <t>0088</t>
  </si>
  <si>
    <t>Станок вертикально-сверлильный настольный (FU-010-0322), Возвращение воздуха в помещение после очистки в фильтре, Дробилка щековая (MR-030-21111), Делитель проб ротационный (LAB-030-21111), Модуль: дробилка щековая с делителем (MR-020-21111), Мельница (MR-010-21111), Настольный делитель проб (LAB-010-21111), Возвращение воздуха в помещение после очистки в фильтре</t>
  </si>
  <si>
    <t>0089</t>
  </si>
  <si>
    <t xml:space="preserve"> Участок сорбционного выщелачивания (Общеобменная вентиляция)</t>
  </si>
  <si>
    <t>Грохот щепоуловитель (SCV-01А-21101, SCV-01B-21101), Сито дуговое (SCS-01-21101), Емкости сорбционного выщелачивания (TKA-01-21101÷TKA-07-21101), Станция растаривания контейнеров "Биг-Бэг" (NSE-09-21101), Емкость оттирки угля (TKA-10-21101), Грохот ввода угля, вибрационный, высокочастотный, однодечный SDS 0812-6М (SCV-11-21101/NSE-11-21101), Бункер хранения активированного угля (BNK-12-21101), Емкость сбора угольной мелочи (TKW-13-21101), Грохот (насыщенного угля) вибрационный, высокочастотный, однодечный, HDS 412 (NSE-15-21101/SCV-15-21101), Сито дуговое (SCS-17-21101), Емкость расходная пиросульфита натрия (TKW-02-21102)</t>
  </si>
  <si>
    <t>0090</t>
  </si>
  <si>
    <t xml:space="preserve"> Помещение INCO процесса (Общеобменная вентиляция)</t>
  </si>
  <si>
    <t>0091</t>
  </si>
  <si>
    <t xml:space="preserve"> Участок приготовления известкового/известнякового молока (Общеобменная вентиляция)</t>
  </si>
  <si>
    <t>0092</t>
  </si>
  <si>
    <t xml:space="preserve"> Участок контрольной фильтрации (Общеобменная вентиляция)</t>
  </si>
  <si>
    <t>0093</t>
  </si>
  <si>
    <t>0094</t>
  </si>
  <si>
    <t>Участок сорбционного выщелачивания (Местный отсос)</t>
  </si>
  <si>
    <t>Емкости сорбционного выщелачивания (TKA-01-21101÷TKA-07-21101)</t>
  </si>
  <si>
    <t>0095</t>
  </si>
  <si>
    <t>Грохот (насыщенного угля) вибрационный, высокочастотный, однодечный, HDS 412 (NSE-15-21101/SCV-15-21101)</t>
  </si>
  <si>
    <t>0096</t>
  </si>
  <si>
    <t>Грохот щепоуловитель (SCV-01А-21101, SCV-01B-21101)</t>
  </si>
  <si>
    <t>0097</t>
  </si>
  <si>
    <t>Станция растаривания контейнеров "Биг-Бэг" (NSE-09-21101)</t>
  </si>
  <si>
    <t>0098</t>
  </si>
  <si>
    <t>Емкость оттирки угля (TKA-10-21101), Грохот ввода угля, вибрационный, высокочастотный, однодечный SDS 0812-6М (SCV-11-21101/NSE-11-21101), Бункер хранения активированного угля (BNK-12-21101), Емкость сбора угольной мелочи (TKW-13-21101)</t>
  </si>
  <si>
    <t>0099</t>
  </si>
  <si>
    <t xml:space="preserve"> Помещение расхода цианида (Местный отсос)</t>
  </si>
  <si>
    <t>Емкость расходная NaCN (TKW-14-21101)</t>
  </si>
  <si>
    <t>0100</t>
  </si>
  <si>
    <t>Помещение INCO процесса (Местный отсос)</t>
  </si>
  <si>
    <t>0101</t>
  </si>
  <si>
    <t>Емкость расходная пиросульфита натрия (TKW-02-21102)</t>
  </si>
  <si>
    <t>0102</t>
  </si>
  <si>
    <t>Участок фильтрации угольной мелочи (Местный отсос)</t>
  </si>
  <si>
    <t>Емкость взвешивания угля (TKW-16-21101)</t>
  </si>
  <si>
    <t>0103</t>
  </si>
  <si>
    <t>Емкость кислотной промывки угля (TKW-01-21104, TKW-02-21104), Емкость расходная сульфаминовой кислоты (TKW-06-21104), Емкость нейтрализации промывных растворов (TKA-07-21104)</t>
  </si>
  <si>
    <t>0104</t>
  </si>
  <si>
    <t>Емкость воды для промывки угля (TKW-03-21104), Емкость пермеата (TKW-05-21104), Емкость десорбирующего раствора, объем 25 м³, Бункер загрузочный для угля (BNK-01-21107), Емкость  сбора водоугольной суспензии (TKA-01-211080), Воздушный сепаратор (AFS-02-21108), Емкость  фильтрата (TKW-03-21108)</t>
  </si>
  <si>
    <t>0105</t>
  </si>
  <si>
    <t>Участок электролиза (Местный отсос)</t>
  </si>
  <si>
    <t>Электролизная камера (EWC-01-21106, EWC-02-21106, EWC-03-21106, EWC-04-21106)</t>
  </si>
  <si>
    <t>0106</t>
  </si>
  <si>
    <t>Гидрометаллургический цех (ГМЦ). Участок подготовки воды и пара  (Вентсистема В6)</t>
  </si>
  <si>
    <t>Гидрометаллургический цех (ГМЦ). Участок подготовки воды и пара  (Вентсистема В7)</t>
  </si>
  <si>
    <t>Бак перепускной (TKW-01-21106, TKW-02-21106)</t>
  </si>
  <si>
    <t>0107</t>
  </si>
  <si>
    <t>Участок получения сплава доре (Местный отсос)</t>
  </si>
  <si>
    <t>Электропечь индукционная тигельная (FUI-02А-21109), Электропечь индукционная тигельная (FUI-02В-21109), Электропечь</t>
  </si>
  <si>
    <t>0108</t>
  </si>
  <si>
    <t>Участок обработки шлака и рукавного фильтра (Местный отсос)</t>
  </si>
  <si>
    <t>Реактор обработки шлака (REB-03-21110)</t>
  </si>
  <si>
    <t>0109</t>
  </si>
  <si>
    <t>Участок контрольной фильтрации (Местный отсос)</t>
  </si>
  <si>
    <t>Приемный бункер емкости приготовления пульпы диатомовой земли (BNK-02-21115, BNK-03-21115)</t>
  </si>
  <si>
    <t>0110</t>
  </si>
  <si>
    <t>Емкость приготовления пульпы диатомовой земли (TKA-02-21115, TKA-03-21115)</t>
  </si>
  <si>
    <t>0111</t>
  </si>
  <si>
    <t>Емкость осветленых стоков (TKW-01А-21116, TKW-01В-21116), Емкость частично обессоленных стоков (TKW-05-21116)</t>
  </si>
  <si>
    <t>0112</t>
  </si>
  <si>
    <t>Помещение приготовления реагентов (Местный отсос)</t>
  </si>
  <si>
    <t>Емкость моющих растворов (TKW-09-21116, TKW-10-21116)</t>
  </si>
  <si>
    <t>0113</t>
  </si>
  <si>
    <t>Емкость приготовления раствора едкого натра (TKА-11-21116), Емкость приготовления раствора ЭДТА (TKА-13-21116)</t>
  </si>
  <si>
    <t>0114</t>
  </si>
  <si>
    <t>Участок приготовления известкового/известнякового молока (Местный отсос)</t>
  </si>
  <si>
    <t>0115</t>
  </si>
  <si>
    <t>Емкость известняковой пульпы (TKA-03-21123), Емкость известняковой пульпы расходная (TKA-04-21123), Емкость известкового молока (TKA-03-21124), Емкость известняковой пульпы расходная (TKA-04-21124)</t>
  </si>
  <si>
    <t>0117</t>
  </si>
  <si>
    <t>Грохот линейный (SCV-01A-21103), Емкость сбора отвальных продуктов (TKA-04-21103)</t>
  </si>
  <si>
    <t>Участок приготовления реагентов (сульфаминовой кислоты и метабисульфата), Участок приготовления раствора цианида натрия (Местный отсос)</t>
  </si>
  <si>
    <t>0119</t>
  </si>
  <si>
    <t>Участок приготовления реагентов (сульфаминовой кислоты и метабисульфата) (Местный отсос)</t>
  </si>
  <si>
    <t>Бункер загрузочный (BNK-01-21119), Емкость приготовления раствора пиросульфита натрия (TKA-01-21119)</t>
  </si>
  <si>
    <t>0120</t>
  </si>
  <si>
    <t>Бункер загрузочный (BNK-01-21118), Емкость приготовления раствора сульфаминовой кислоты (TKA-01-21118)</t>
  </si>
  <si>
    <t>Шкаф вытяжной 1500 ШВк</t>
  </si>
  <si>
    <t>0122</t>
  </si>
  <si>
    <t>Шкаф вытяжной для нагревательных печей, Шкаф вытяжной для нагревательных печей , Спектрометр атомно-абсорбционный Termo iCE 3300</t>
  </si>
  <si>
    <t>Помещение экспресс-лаборатории (Местный отсос)</t>
  </si>
  <si>
    <t>Анализатор серы и углерода фирмы ELTRA 580</t>
  </si>
  <si>
    <t>0124</t>
  </si>
  <si>
    <t>Помещение исследовательской лаборатории (Местный отсос)</t>
  </si>
  <si>
    <t>0125</t>
  </si>
  <si>
    <t>0126</t>
  </si>
  <si>
    <t>0127</t>
  </si>
  <si>
    <t>Печь реактивации угля (DR-01-21107)</t>
  </si>
  <si>
    <t>Натрий гидросульфит (Натрия бисульфит)</t>
  </si>
  <si>
    <t>3152</t>
  </si>
  <si>
    <t>Корпус CIL (Вентсистема В1a, В1b, В1c)</t>
  </si>
  <si>
    <t>Корпус CIL (Вентсистема В3a, В3b, В3с)</t>
  </si>
  <si>
    <t>008101</t>
  </si>
  <si>
    <t>Корпус CIL (Вентсистема В4a, В4b)</t>
  </si>
  <si>
    <t>008301</t>
  </si>
  <si>
    <t>Корпус CIL (Вентсистема В6a, В6b, В6с)</t>
  </si>
  <si>
    <t>Корпус CIL (Вентсистема В7a, В7b)</t>
  </si>
  <si>
    <t>Корпус CIL (Вентсистема В11a, В11b)</t>
  </si>
  <si>
    <t>Корпус CIL (Вентсистема В23a, В23b, В23с)</t>
  </si>
  <si>
    <t>Корпус CIL (Вентсистема В25a, В25b, В25с)</t>
  </si>
  <si>
    <t>Корпус CIL (Вентсистема В26a, В26b)</t>
  </si>
  <si>
    <t>Корпус CIL (Вентсистема В27a, В27b)</t>
  </si>
  <si>
    <t>Насосная станция УСПК (Вентсистема В1a, В1b)</t>
  </si>
  <si>
    <t>0129</t>
  </si>
  <si>
    <t>0130</t>
  </si>
  <si>
    <t>0131</t>
  </si>
  <si>
    <t>Насосная станция отделения сгущения окисленной пульпы (Вентсистема В1)</t>
  </si>
  <si>
    <t>0132</t>
  </si>
  <si>
    <t>Насосная станция отделения сгущения окисленной пульпы (Вентсистема В2)</t>
  </si>
  <si>
    <t>Насосная станция отделения сгущения окисленной пульпы (Вентсистема В3)</t>
  </si>
  <si>
    <t>Насосная станция отделения сгущения окисленной пульпы (Вентсистема В4)</t>
  </si>
  <si>
    <t>Насосная станция отделения сгущения гипсовой пульпы  (Вентсистема В1)</t>
  </si>
  <si>
    <t>Насосная станция отделения сгущения гипсовой пульпы  (Вентсистема В2)</t>
  </si>
  <si>
    <t>Насосная станция отделения сгущения гипсовой пульпы  (Вентсистема В3)</t>
  </si>
  <si>
    <t>Насосная станция отделения сгущения гипсовой пульпы  (Вентсистема В4)</t>
  </si>
  <si>
    <t>Насосная станция отделения предварительного осветления растворов (Вентсистема В1)</t>
  </si>
  <si>
    <t>Насосная станция отделения предварительного осветления растворов (Вентсистема В2)</t>
  </si>
  <si>
    <t>Насосная станция отделения предварительного осветления растворов (Вентсистема В3)</t>
  </si>
  <si>
    <t>Насосная станция отделения предварительного осветления растворов (Вентсистема В4)</t>
  </si>
  <si>
    <t>06</t>
  </si>
  <si>
    <t>004101</t>
  </si>
  <si>
    <t>004201</t>
  </si>
  <si>
    <t>004301</t>
  </si>
  <si>
    <t>004401</t>
  </si>
  <si>
    <t>004901</t>
  </si>
  <si>
    <t>005001</t>
  </si>
  <si>
    <t>005101</t>
  </si>
  <si>
    <t>005801</t>
  </si>
  <si>
    <t>Гидрометаллургический цех (ГМЦ). Участок кондиционирования пара (Вентсистема ВЕ6-ВЕ13)</t>
  </si>
  <si>
    <t>006401</t>
  </si>
  <si>
    <t>006501</t>
  </si>
  <si>
    <t>006701</t>
  </si>
  <si>
    <t>006901</t>
  </si>
  <si>
    <t>007001</t>
  </si>
  <si>
    <t>007201</t>
  </si>
  <si>
    <t>007901</t>
  </si>
  <si>
    <t>008201</t>
  </si>
  <si>
    <t>СФ-15/В - Фильтр самоочищающийся</t>
  </si>
  <si>
    <t>Пыль неорганическая, содержащая двуокись кремния в %: 70-20</t>
  </si>
  <si>
    <t>Картриджный фильтр MBD-4-T12, 95%</t>
  </si>
  <si>
    <t>Загрузочное устройство МШЦ (NSE-01-21123), Мельница шаровая с центральной разгрузкой (МLB-01-21123), Зумпф разгрузки мельницы (SUM-02-21123), Кластер гидроциклонов Cavex250 (HCY-02-21123), Емкость известняковой пульпы (TKA-03-21123), Емкость известняковой пульпы расходная (TKA-04-21123), Дренажный приямок участка приготовления известняковой пульпы , Загрузочное устройство МШЦ (NSE-01-21124), Мельница шаровая с центральной разгрузкой (МLB-01-21124), Зумпф разгрузки мельницы (SUM-02-21124), Кластер гидроциклонов Cavex250 (HCY-02-21124), Емкость известкового молока (TKA-03-21124), Емкость известняковой пульпы расходная (TKA-04-21124), Дренажный приямок участка приготовления известкового молока, Грохот линейный (SCV-01A-21103), Сито дуговое, 0,63 мм, Q =4-7 м³/ч, F =0,4 м², Емкость сбора отвальных продуктов (TKA-04-21103)</t>
  </si>
  <si>
    <t>Фильтр осветлительный с устройством для выдвижения внешнего цилиндра корпуса (FLL-01A-21115÷ FLL-01F-21115), Операция промывки фильтров. 2 раза в сутки в течение 20 мин. Одновременно промывается один фильтр, Зумпф под фильтрами, Приемный бункер емкости приготовления пульпы диатомовой земли (BNK-02-21115, BNK-03-21115), Емкость приготовления пульпы диатомовой земли (TKA-02-21115, TKA-03-21115), Емкость осветленых стоков (TKW-01А-21116, TKW-01В-21116), Емкость частично обессоленных стоков (TKW-05-21116)</t>
  </si>
  <si>
    <t>Участок электролиза на отм. 0,000, Участок электролиза (Общеобменная вентиляция)</t>
  </si>
  <si>
    <t>Бак перепускной (TKW-01-21106, TKW-02-21106), Электролизная камера (EWC-01-21106, EWC-02-21106, EWC-03-21106, EWC-04-21106)</t>
  </si>
  <si>
    <t>Участок обработки шлака и рукавного фильтра, Место установки фильтра КФЕ, Сушка КО (Общеобменная вентиляция)</t>
  </si>
  <si>
    <t>Реактор обработки шлака (REB-03-21110), Дренажный приямок участка переработки шлаков, Электропечь сопротивления камерная, сушильная (DRO-01A-21109, DRO-01B-21109)</t>
  </si>
  <si>
    <t>Бункер загрузочный (BNK-01-21118), Емкость приготовления раствора сульфаминовой кислоты (TKA-01-21118), Дренажный приямок участка приготовления раствора сульфаминовой кислоты, Бункер загрузочный (BNK-01-21119), Емкость приготовления раствора пиросульфита натрия (TKA-01-21119), Дренажный приямок участка приготовления раствора пиросульфита натрия, Бункер загрузочный (BNK-01-21120), Емкость приготовления раствора гидроксида натрия (TKА-01-21120), Емкость хранения раствора гидроксида натрия (TKA-02-21120), Дренажный приямок участка риготовления раствора гидроксида натрия, Бункер загрузочный (BNK-01-21121), Емкость приготовления раствора сульфата железа (TKA-01-21121), Расходная емкость раствора сульфата железа (TKA-02-21121), Дренажный приямок участка приготовления раствора сульфата железа, Бункер загрузочный (BNK-01-21122), Емкость приготовления раствора  цианида натрия (TKA-01-21122), Емкость приготовления раствора  цианида натрия (TKA-02-21122), Дренажный приямок участка приготовления раствора цианида натрия</t>
  </si>
  <si>
    <t>Склад ЗИП, Кабинет сменных мастеров ОТК, Нарядная ОТК, Кабинет начальника и заместителя ОТК, Помещение для хранения дубликатов проб и ЗИП, Помещение анализа и обработки бедных проб, Аспирационная установка, Помещение анализа и обработки богатых проб, Помещение для РФА, хранения ЗИП и приборов, Помещение дробления, Помещение дистиллярной и подготовки химической посуды, Помещение экспресс-лаблратории, Кабинет инженера-технолога, Кабинет инженера-химика, Помещение исследовательской лаборатории, Венткамера (Общеобменная вентиляция)</t>
  </si>
  <si>
    <t>Электрошкаф для сушки проб ЭШС-20.8.12, Вентилируемый рабочий стол, Стандартная кольцевая мельница, Электрошкаф для сушки проб ЭШС-20.8.12, Вентилируемый рабочий стол, Стандартная кольцевая мельница, Вентилируемый рабочий стол, Дробилка щековая ДЩ-6, Стандартная кольцевая мельница, Шкаф вытяжной 1500 ШВк, Шкаф вытяжной для нагревательных печей, Шкаф вытяжной для нагревательных печей , Спектрометр атомно-абсорбционный Termo iCE 3300, Анализатор серы и углерода фирмы ELTRA 580, Шкаф вытяжной 1500 ШВк</t>
  </si>
  <si>
    <t>Золотоприемная касса, Помещение ОТК, Помещение подготовки проб, Помещение дробления шлаков и КО, Помещение мастера  участка получения сплава доре, Вспомогательное помещение, Помещение охраны, Помещение уборщицы, Кладовая чистой спецодежды с местом для выдачи спецодежды, Кладовая грязной спецодежды с местом для сдачи спецодежды, Комната приема пищи / отдыха, Помещение сушки и глажки спецодежды, Помещение хранения моющих средств, Резервное помещение, Коридор (Общеобменная вентиляция)</t>
  </si>
  <si>
    <t>Мельница шаровая с центральной разгрузкой (МLB-01-21123)</t>
  </si>
  <si>
    <t>Мельница шаровая с центральной разгрузкой (МLB-01-21124)</t>
  </si>
  <si>
    <t>Бункер загрузочный (BNK-01-21120), Емкость приготовления раствора гидроксида натрия (TKА-01-21120), Емкость хранения раствора гидроксида натрия (TKA-02-21120), Бункер загрузочный (BNK-01-21121), Емкость приготовления раствора сульфата железа (TKA-01-21121), Бункер загрузочный (BNK-01-21122), Емкость приготовления раствора  цианида натрия (TKA-01-21122), Емкость приготовления раствора  цианида натрия (TKA-02-21122)</t>
  </si>
  <si>
    <t>Помещение анализа и обработки бедных проб, Помещение дробления, Помещение анализа и обработки богатых проб (Местный отсос)</t>
  </si>
  <si>
    <t>Вентилируемый рабочий стол, Вентилируемый рабочий стол, Вентилируемый рабочий стол, Дробилка щековая ДЩ-6</t>
  </si>
  <si>
    <t>Загрузочное устройство МШЦ (NSE-01-21123)</t>
  </si>
  <si>
    <t>Карманный фильтр SFN-FH, 95%</t>
  </si>
  <si>
    <t>Загрузочное устройство МШЦ (NSE-01-21124)</t>
  </si>
  <si>
    <t>0133</t>
  </si>
  <si>
    <t>0134</t>
  </si>
  <si>
    <t>Площадка №1 склада известняка</t>
  </si>
  <si>
    <t>Площадка №2 склада известняка</t>
  </si>
  <si>
    <t>Разгрузка из автосамосвала на площадку</t>
  </si>
  <si>
    <t>Погрузка с площадки</t>
  </si>
  <si>
    <t>Итого по ист.600601:</t>
  </si>
  <si>
    <t>Итого по ист.600701:</t>
  </si>
  <si>
    <t>6006</t>
  </si>
  <si>
    <t>Итого по ист.600602:</t>
  </si>
  <si>
    <t>Lon Gong CDM 843</t>
  </si>
  <si>
    <t>101-160</t>
  </si>
  <si>
    <t>6007</t>
  </si>
  <si>
    <t>Итого по ист.600702:</t>
  </si>
  <si>
    <t>Загрязняющие в-ва</t>
  </si>
  <si>
    <t>дизтопливо</t>
  </si>
  <si>
    <t>Оксид углерода</t>
  </si>
  <si>
    <t>Сернистый ангидрид</t>
  </si>
  <si>
    <t>Углеводороды</t>
  </si>
  <si>
    <t>Формальдегид</t>
  </si>
  <si>
    <t>1325</t>
  </si>
  <si>
    <t>мощность 40 кВт</t>
  </si>
  <si>
    <t>DE50E0</t>
  </si>
  <si>
    <t xml:space="preserve">   Основными источниками загрязнения атмосферы вредными веществами на период проведения строительных работ будут являться:</t>
  </si>
  <si>
    <t>1. РАСЧЕТ ВЫБРОСОВ ЗАГРЯЗНЯЮЩИХ ВЕЩЕСТВ  В ПРОЦЕССЕ ЭКСПЛУАТАЦИИ ПРЕДПРИЯТИЯ</t>
  </si>
  <si>
    <t>СОДЕРЖАНИЕ</t>
  </si>
  <si>
    <t>1.</t>
  </si>
  <si>
    <t>2.</t>
  </si>
  <si>
    <t>3.</t>
  </si>
  <si>
    <t>4.</t>
  </si>
  <si>
    <t>Констция резервуара</t>
  </si>
  <si>
    <t>Углеводороды  предельные С12-С19</t>
  </si>
  <si>
    <t>Выбросы твердых частиц</t>
  </si>
  <si>
    <t>Выбросы диоксида серы</t>
  </si>
  <si>
    <t>Выбросы оксида углерода</t>
  </si>
  <si>
    <t>Выбросы оксидов азота</t>
  </si>
  <si>
    <t>1. Расчет выбросов вредных веществ при сжигании топлива в котельной</t>
  </si>
  <si>
    <t>Список литературы:</t>
  </si>
  <si>
    <t>1. Сборник методик по расчету выбросов вредных веществ в атмосферу различными производствами. – Алматы: "КазЭКОЭКСП", 1996.</t>
  </si>
  <si>
    <t>2. Методика определения выбросов загрязняющих веществ в атмосферу для тепловых электростанций и котельных согласно приложению №3 к приказу Министра окружающей среды и водных ресурсов Республики Казахстан от 12.06.2014 г №221-П.</t>
  </si>
  <si>
    <t>3.Методик определения нормативов эмиссий в окружающую среду.Приказ Министра экологии, геологии и природных ресурсов Республики Казахстан от 10 марта 2021 года № 63. Зарегистрирован в Министерстве юстиции Республики Казахстан 11 марта 2021 года № 22317.</t>
  </si>
  <si>
    <t xml:space="preserve">   Выбросы твердых веществ (летучая зола и не догоревшее топливо) определяем по формуле [1]:</t>
  </si>
  <si>
    <t>где:</t>
  </si>
  <si>
    <t>В - расход топлива, г/с, т/год;</t>
  </si>
  <si>
    <r>
      <t>А</t>
    </r>
    <r>
      <rPr>
        <vertAlign val="superscript"/>
        <sz val="11"/>
        <color theme="1"/>
        <rFont val="Times New Roman"/>
        <family val="1"/>
        <charset val="204"/>
      </rPr>
      <t>P</t>
    </r>
    <r>
      <rPr>
        <sz val="11"/>
        <color theme="1"/>
        <rFont val="Times New Roman"/>
        <family val="1"/>
        <charset val="204"/>
      </rPr>
      <t xml:space="preserve"> - зольность сжигаемого топлива, %;</t>
    </r>
  </si>
  <si>
    <t>f - коэффициент, характеризующий тип топки и вид  [1];</t>
  </si>
  <si>
    <r>
      <t>n</t>
    </r>
    <r>
      <rPr>
        <vertAlign val="subscript"/>
        <sz val="11"/>
        <color theme="1"/>
        <rFont val="Times New Roman"/>
        <family val="1"/>
        <charset val="204"/>
      </rPr>
      <t>з</t>
    </r>
    <r>
      <rPr>
        <sz val="11"/>
        <color theme="1"/>
        <rFont val="Times New Roman"/>
        <family val="1"/>
        <charset val="204"/>
      </rPr>
      <t xml:space="preserve"> - доля твердых частиц, улавливаемых в золоуловителе.</t>
    </r>
  </si>
  <si>
    <r>
      <t>Мтв = В х А</t>
    </r>
    <r>
      <rPr>
        <b/>
        <vertAlign val="superscript"/>
        <sz val="14"/>
        <color theme="1"/>
        <rFont val="Times New Roman"/>
        <family val="1"/>
        <charset val="204"/>
      </rPr>
      <t>P</t>
    </r>
    <r>
      <rPr>
        <b/>
        <sz val="14"/>
        <color theme="1"/>
        <rFont val="Times New Roman"/>
        <family val="1"/>
        <charset val="204"/>
      </rPr>
      <t xml:space="preserve"> х f х (1- n</t>
    </r>
    <r>
      <rPr>
        <b/>
        <vertAlign val="subscript"/>
        <sz val="14"/>
        <color theme="1"/>
        <rFont val="Times New Roman"/>
        <family val="1"/>
        <charset val="204"/>
      </rPr>
      <t>з</t>
    </r>
    <r>
      <rPr>
        <b/>
        <sz val="14"/>
        <color theme="1"/>
        <rFont val="Times New Roman"/>
        <family val="1"/>
        <charset val="204"/>
      </rPr>
      <t>), г/с, т/год,</t>
    </r>
  </si>
  <si>
    <t xml:space="preserve">   Суммарное количество оксидов серы МSO2, выбрасываемых в атмосферу с дымовыми газами (г/с, т/год) вычисляют по формуле [1]::</t>
  </si>
  <si>
    <r>
      <t>n"so</t>
    </r>
    <r>
      <rPr>
        <vertAlign val="sub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 xml:space="preserve"> – доля оксидов серы, улавливаемых в мокром золоуловителе попутно с улавливанием твердых частиц, (n"=0) [1];</t>
    </r>
  </si>
  <si>
    <t xml:space="preserve">   Количество оксида углерода, выбрасываемого в атмосферу (г/с, т/год) при сжигании жидкого и твердого топлива рассчитывают по формуле [1]:</t>
  </si>
  <si>
    <t>Мсо = 0,001 х Ссо х В х (1-q4/100), г/с, т/год,</t>
  </si>
  <si>
    <t>Ссо - выход окиси углерода при сжигании топлива, кг на тонну топлива;</t>
  </si>
  <si>
    <t>q3 - потери тепла вследствие химической неполноты сгорания топлива;</t>
  </si>
  <si>
    <r>
      <t>n'so</t>
    </r>
    <r>
      <rPr>
        <vertAlign val="sub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 xml:space="preserve"> – доля оксидов серы, связываемых летучей золой в котле, (n'=0,02) [1];</t>
    </r>
  </si>
  <si>
    <r>
      <t>S</t>
    </r>
    <r>
      <rPr>
        <vertAlign val="subscript"/>
        <sz val="12"/>
        <color theme="1"/>
        <rFont val="Times New Roman"/>
        <family val="1"/>
        <charset val="204"/>
      </rPr>
      <t>р</t>
    </r>
    <r>
      <rPr>
        <sz val="12"/>
        <color theme="1"/>
        <rFont val="Times New Roman"/>
        <family val="1"/>
        <charset val="204"/>
      </rPr>
      <t xml:space="preserve"> – содержание серы в топливе на рабочую массу, %;</t>
    </r>
  </si>
  <si>
    <t>R - коэффициент, учитывающий долю потери тепла вследствие химической неполноты  сгорания топлива, обусловленную наличием в продуктах неполного сгорания оксида углерода[1];</t>
  </si>
  <si>
    <t>q4 - потери тепла вследствие механической неполноты сгорания топлива.</t>
  </si>
  <si>
    <t xml:space="preserve">Ссо = q3 х R х Qн </t>
  </si>
  <si>
    <t xml:space="preserve">  Количество оксидов азота (в пересчете на NO2), выбрасываемых в атмосферу (т/год, г/с), рассчитывают по формуле [1]:</t>
  </si>
  <si>
    <r>
      <t xml:space="preserve">М </t>
    </r>
    <r>
      <rPr>
        <b/>
        <vertAlign val="subscript"/>
        <sz val="14"/>
        <color theme="1"/>
        <rFont val="Times New Roman"/>
        <family val="1"/>
        <charset val="204"/>
      </rPr>
      <t>NO</t>
    </r>
    <r>
      <rPr>
        <b/>
        <sz val="14"/>
        <color theme="1"/>
        <rFont val="Times New Roman"/>
        <family val="1"/>
        <charset val="204"/>
      </rPr>
      <t>х = 0,001 х В х Qн х К</t>
    </r>
    <r>
      <rPr>
        <b/>
        <vertAlign val="subscript"/>
        <sz val="14"/>
        <color theme="1"/>
        <rFont val="Times New Roman"/>
        <family val="1"/>
        <charset val="204"/>
      </rPr>
      <t xml:space="preserve"> NO2</t>
    </r>
    <r>
      <rPr>
        <b/>
        <sz val="14"/>
        <color theme="1"/>
        <rFont val="Times New Roman"/>
        <family val="1"/>
        <charset val="204"/>
      </rPr>
      <t xml:space="preserve"> х (1-b), г/с, т/год,</t>
    </r>
  </si>
  <si>
    <t>Qн -  теплота сгорания натурального топлива, МДж/кг;</t>
  </si>
  <si>
    <t>КNO2 - параметр, характеризующий количество окислов азота в кг, образующихся на  1 ГДж тепла [1];</t>
  </si>
  <si>
    <t>b - коэффициент, учитывающий степень снижения выбросов окислов азота в результате применения технических средств;</t>
  </si>
  <si>
    <t>В - расход топлива, г/с, т/год.</t>
  </si>
  <si>
    <t xml:space="preserve">     Диоксид азота (т/год, г/с):</t>
  </si>
  <si>
    <r>
      <t xml:space="preserve">     Согласно [3] при расчете загрязнения атмосферы и определении выбросов для всех видов технологических процессов и транспортных средств, следует учитывать полную или частичную трансформацию поступающих в атмосферу окислов азота. Для этого установленное по расчету количество выбросов окислов азота (М</t>
    </r>
    <r>
      <rPr>
        <vertAlign val="subscript"/>
        <sz val="14"/>
        <color theme="1"/>
        <rFont val="Times New Roman"/>
        <family val="1"/>
        <charset val="204"/>
      </rPr>
      <t>NOх</t>
    </r>
    <r>
      <rPr>
        <sz val="14"/>
        <color theme="1"/>
        <rFont val="Times New Roman"/>
        <family val="1"/>
        <charset val="204"/>
      </rPr>
      <t>) в пересчете на NO2 разделяется на составляющие оксид азота (NO) и диоксид азота (NO2). Коэффициенты трансформации от NOх принимаются на уровне максимальной установленной трансформации, т.е. 0,8 – для NO2 и 0,13 – для NO. Тогда раздельные выбросы будут определяться по формулам:</t>
    </r>
  </si>
  <si>
    <r>
      <t>М</t>
    </r>
    <r>
      <rPr>
        <b/>
        <vertAlign val="subscript"/>
        <sz val="14"/>
        <color theme="1"/>
        <rFont val="Times New Roman"/>
        <family val="1"/>
        <charset val="204"/>
      </rPr>
      <t>NO2</t>
    </r>
    <r>
      <rPr>
        <b/>
        <sz val="14"/>
        <color theme="1"/>
        <rFont val="Times New Roman"/>
        <family val="1"/>
        <charset val="204"/>
      </rPr>
      <t xml:space="preserve"> = (0,001 х В х Q</t>
    </r>
    <r>
      <rPr>
        <b/>
        <vertAlign val="superscript"/>
        <sz val="14"/>
        <color theme="1"/>
        <rFont val="Times New Roman"/>
        <family val="1"/>
        <charset val="204"/>
      </rPr>
      <t>р</t>
    </r>
    <r>
      <rPr>
        <b/>
        <vertAlign val="subscript"/>
        <sz val="14"/>
        <color theme="1"/>
        <rFont val="Times New Roman"/>
        <family val="1"/>
        <charset val="204"/>
      </rPr>
      <t>н</t>
    </r>
    <r>
      <rPr>
        <b/>
        <sz val="14"/>
        <color theme="1"/>
        <rFont val="Times New Roman"/>
        <family val="1"/>
        <charset val="204"/>
      </rPr>
      <t xml:space="preserve"> х К </t>
    </r>
    <r>
      <rPr>
        <b/>
        <vertAlign val="subscript"/>
        <sz val="14"/>
        <color theme="1"/>
        <rFont val="Times New Roman"/>
        <family val="1"/>
        <charset val="204"/>
      </rPr>
      <t>NO2</t>
    </r>
    <r>
      <rPr>
        <b/>
        <sz val="14"/>
        <color theme="1"/>
        <rFont val="Times New Roman"/>
        <family val="1"/>
        <charset val="204"/>
      </rPr>
      <t xml:space="preserve"> х (1-b)) х 0,8</t>
    </r>
  </si>
  <si>
    <t xml:space="preserve">    Оксид азота (т/год, г/с):</t>
  </si>
  <si>
    <r>
      <t>М</t>
    </r>
    <r>
      <rPr>
        <b/>
        <vertAlign val="subscript"/>
        <sz val="14"/>
        <color theme="1"/>
        <rFont val="Times New Roman"/>
        <family val="1"/>
        <charset val="204"/>
      </rPr>
      <t>NO</t>
    </r>
    <r>
      <rPr>
        <b/>
        <sz val="14"/>
        <color theme="1"/>
        <rFont val="Times New Roman"/>
        <family val="1"/>
        <charset val="204"/>
      </rPr>
      <t xml:space="preserve"> = (0,001 х В х Q</t>
    </r>
    <r>
      <rPr>
        <b/>
        <vertAlign val="superscript"/>
        <sz val="14"/>
        <color theme="1"/>
        <rFont val="Times New Roman"/>
        <family val="1"/>
        <charset val="204"/>
      </rPr>
      <t>р</t>
    </r>
    <r>
      <rPr>
        <b/>
        <vertAlign val="subscript"/>
        <sz val="14"/>
        <color theme="1"/>
        <rFont val="Times New Roman"/>
        <family val="1"/>
        <charset val="204"/>
      </rPr>
      <t>н</t>
    </r>
    <r>
      <rPr>
        <b/>
        <sz val="14"/>
        <color theme="1"/>
        <rFont val="Times New Roman"/>
        <family val="1"/>
        <charset val="204"/>
      </rPr>
      <t xml:space="preserve"> х К </t>
    </r>
    <r>
      <rPr>
        <b/>
        <vertAlign val="subscript"/>
        <sz val="14"/>
        <color theme="1"/>
        <rFont val="Times New Roman"/>
        <family val="1"/>
        <charset val="204"/>
      </rPr>
      <t>NO</t>
    </r>
    <r>
      <rPr>
        <b/>
        <sz val="14"/>
        <color theme="1"/>
        <rFont val="Times New Roman"/>
        <family val="1"/>
        <charset val="204"/>
      </rPr>
      <t xml:space="preserve"> х (1-b)) х 0,13</t>
    </r>
  </si>
  <si>
    <t>Мso2 = 0,02 х В х Sр х (1-n'so2) х (1-n"so2)</t>
  </si>
  <si>
    <t xml:space="preserve">     Данные для расчета выбросов и результаты расчета приведены в таблице 1.1.</t>
  </si>
  <si>
    <t>Таблица 1.1 - Результаты расчета выбросов загрязняющих веществ от котельной</t>
  </si>
  <si>
    <t>1. Методические указания расчета выбросов от предприятий, осуществляющих хранение и реализацию нефтепродуктов (нефтебазы, АЗС) и других жидкостей и газов. Астана, 2011.</t>
  </si>
  <si>
    <t xml:space="preserve">где: </t>
  </si>
  <si>
    <r>
      <t xml:space="preserve">максимальные выбросы i-го загрязняющего вещества:  </t>
    </r>
    <r>
      <rPr>
        <b/>
        <sz val="14"/>
        <color theme="1"/>
        <rFont val="Times New Roman"/>
        <family val="1"/>
        <charset val="204"/>
      </rPr>
      <t>Мi = М х Сi / 100, г/с</t>
    </r>
  </si>
  <si>
    <r>
      <t>годовые выбросы i-го загрязняющего вещества:</t>
    </r>
    <r>
      <rPr>
        <b/>
        <sz val="14"/>
        <color theme="1"/>
        <rFont val="Times New Roman"/>
        <family val="1"/>
        <charset val="204"/>
      </rPr>
      <t xml:space="preserve"> Gi = G х Сi / 100, т/год</t>
    </r>
  </si>
  <si>
    <t>Сi - концентрация i-го загрязняющего вещества, % масс (приложение 14 [1]).</t>
  </si>
  <si>
    <t>Таблица 2.1- Результаты расчетов выбросов от резервуаров</t>
  </si>
  <si>
    <t xml:space="preserve">     Количество закачиваемой в резервуар жидкости принимается по данным предприятия в осенне-зимний и весенне-летний периоды года. Кроме того, определяется объем паровоздушной смеси, вытесняемой из резервуара во время его закачки, принимаемый равным производительности насоса.</t>
  </si>
  <si>
    <t>Выбросы паров нефтепродуктов</t>
  </si>
  <si>
    <t xml:space="preserve">     Выбросы паров нефтепродуктов из не обогреваемых резервуаров рассчитываются по формулам [1]:</t>
  </si>
  <si>
    <r>
      <t>М = (С</t>
    </r>
    <r>
      <rPr>
        <b/>
        <vertAlign val="subscript"/>
        <sz val="14"/>
        <color theme="1"/>
        <rFont val="Times New Roman"/>
        <family val="1"/>
        <charset val="204"/>
      </rPr>
      <t>1</t>
    </r>
    <r>
      <rPr>
        <b/>
        <sz val="14"/>
        <color theme="1"/>
        <rFont val="Times New Roman"/>
        <family val="1"/>
        <charset val="204"/>
      </rPr>
      <t xml:space="preserve"> х К</t>
    </r>
    <r>
      <rPr>
        <b/>
        <vertAlign val="subscript"/>
        <sz val="14"/>
        <color theme="1"/>
        <rFont val="Times New Roman"/>
        <family val="1"/>
        <charset val="204"/>
      </rPr>
      <t>р</t>
    </r>
    <r>
      <rPr>
        <b/>
        <vertAlign val="superscript"/>
        <sz val="14"/>
        <color theme="1"/>
        <rFont val="Times New Roman"/>
        <family val="1"/>
        <charset val="204"/>
      </rPr>
      <t>max</t>
    </r>
    <r>
      <rPr>
        <b/>
        <sz val="14"/>
        <color theme="1"/>
        <rFont val="Times New Roman"/>
        <family val="1"/>
        <charset val="204"/>
      </rPr>
      <t xml:space="preserve"> х V</t>
    </r>
    <r>
      <rPr>
        <b/>
        <vertAlign val="subscript"/>
        <sz val="14"/>
        <color theme="1"/>
        <rFont val="Times New Roman"/>
        <family val="1"/>
        <charset val="204"/>
      </rPr>
      <t>ч</t>
    </r>
    <r>
      <rPr>
        <b/>
        <vertAlign val="superscript"/>
        <sz val="14"/>
        <color theme="1"/>
        <rFont val="Times New Roman"/>
        <family val="1"/>
        <charset val="204"/>
      </rPr>
      <t>max</t>
    </r>
    <r>
      <rPr>
        <b/>
        <sz val="14"/>
        <color theme="1"/>
        <rFont val="Times New Roman"/>
        <family val="1"/>
        <charset val="204"/>
      </rPr>
      <t>)/3600,   г/с</t>
    </r>
  </si>
  <si>
    <r>
      <t>G = (У</t>
    </r>
    <r>
      <rPr>
        <b/>
        <vertAlign val="subscript"/>
        <sz val="14"/>
        <color theme="1"/>
        <rFont val="Times New Roman"/>
        <family val="1"/>
        <charset val="204"/>
      </rPr>
      <t>оз</t>
    </r>
    <r>
      <rPr>
        <b/>
        <sz val="14"/>
        <color theme="1"/>
        <rFont val="Times New Roman"/>
        <family val="1"/>
        <charset val="204"/>
      </rPr>
      <t xml:space="preserve"> х В</t>
    </r>
    <r>
      <rPr>
        <b/>
        <vertAlign val="subscript"/>
        <sz val="14"/>
        <color theme="1"/>
        <rFont val="Times New Roman"/>
        <family val="1"/>
        <charset val="204"/>
      </rPr>
      <t>оз</t>
    </r>
    <r>
      <rPr>
        <b/>
        <sz val="14"/>
        <color theme="1"/>
        <rFont val="Times New Roman"/>
        <family val="1"/>
        <charset val="204"/>
      </rPr>
      <t xml:space="preserve"> + У</t>
    </r>
    <r>
      <rPr>
        <b/>
        <vertAlign val="subscript"/>
        <sz val="14"/>
        <color theme="1"/>
        <rFont val="Times New Roman"/>
        <family val="1"/>
        <charset val="204"/>
      </rPr>
      <t>вл</t>
    </r>
    <r>
      <rPr>
        <b/>
        <sz val="14"/>
        <color theme="1"/>
        <rFont val="Times New Roman"/>
        <family val="1"/>
        <charset val="204"/>
      </rPr>
      <t xml:space="preserve"> х В</t>
    </r>
    <r>
      <rPr>
        <b/>
        <vertAlign val="subscript"/>
        <sz val="14"/>
        <color theme="1"/>
        <rFont val="Times New Roman"/>
        <family val="1"/>
        <charset val="204"/>
      </rPr>
      <t>вл</t>
    </r>
    <r>
      <rPr>
        <b/>
        <sz val="14"/>
        <color theme="1"/>
        <rFont val="Times New Roman"/>
        <family val="1"/>
        <charset val="204"/>
      </rPr>
      <t>) х К</t>
    </r>
    <r>
      <rPr>
        <b/>
        <vertAlign val="subscript"/>
        <sz val="14"/>
        <color theme="1"/>
        <rFont val="Times New Roman"/>
        <family val="1"/>
        <charset val="204"/>
      </rPr>
      <t>р</t>
    </r>
    <r>
      <rPr>
        <b/>
        <vertAlign val="superscript"/>
        <sz val="14"/>
        <color theme="1"/>
        <rFont val="Times New Roman"/>
        <family val="1"/>
        <charset val="204"/>
      </rPr>
      <t>max</t>
    </r>
    <r>
      <rPr>
        <b/>
        <sz val="14"/>
        <color theme="1"/>
        <rFont val="Times New Roman"/>
        <family val="1"/>
        <charset val="204"/>
      </rPr>
      <t xml:space="preserve"> х 10</t>
    </r>
    <r>
      <rPr>
        <b/>
        <vertAlign val="superscript"/>
        <sz val="14"/>
        <color theme="1"/>
        <rFont val="Times New Roman"/>
        <family val="1"/>
        <charset val="204"/>
      </rPr>
      <t>-6</t>
    </r>
    <r>
      <rPr>
        <b/>
        <sz val="14"/>
        <color theme="1"/>
        <rFont val="Times New Roman"/>
        <family val="1"/>
        <charset val="204"/>
      </rPr>
      <t xml:space="preserve"> + G</t>
    </r>
    <r>
      <rPr>
        <b/>
        <vertAlign val="subscript"/>
        <sz val="14"/>
        <color theme="1"/>
        <rFont val="Times New Roman"/>
        <family val="1"/>
        <charset val="204"/>
      </rPr>
      <t>хр</t>
    </r>
    <r>
      <rPr>
        <b/>
        <sz val="14"/>
        <color theme="1"/>
        <rFont val="Times New Roman"/>
        <family val="1"/>
        <charset val="204"/>
      </rPr>
      <t xml:space="preserve"> х К</t>
    </r>
    <r>
      <rPr>
        <b/>
        <vertAlign val="subscript"/>
        <sz val="14"/>
        <color theme="1"/>
        <rFont val="Times New Roman"/>
        <family val="1"/>
        <charset val="204"/>
      </rPr>
      <t>НП</t>
    </r>
    <r>
      <rPr>
        <b/>
        <sz val="14"/>
        <color theme="1"/>
        <rFont val="Times New Roman"/>
        <family val="1"/>
        <charset val="204"/>
      </rPr>
      <t xml:space="preserve"> х Nр,  т/год</t>
    </r>
  </si>
  <si>
    <r>
      <t>V</t>
    </r>
    <r>
      <rPr>
        <vertAlign val="subscript"/>
        <sz val="12"/>
        <color theme="1"/>
        <rFont val="Times New Roman"/>
        <family val="1"/>
        <charset val="204"/>
      </rPr>
      <t>ч</t>
    </r>
    <r>
      <rPr>
        <vertAlign val="superscript"/>
        <sz val="12"/>
        <color theme="1"/>
        <rFont val="Times New Roman"/>
        <family val="1"/>
        <charset val="204"/>
      </rPr>
      <t>max</t>
    </r>
    <r>
      <rPr>
        <sz val="12"/>
        <color theme="1"/>
        <rFont val="Times New Roman"/>
        <family val="1"/>
        <charset val="204"/>
      </rPr>
      <t xml:space="preserve"> – максимальный объем паровоздушной смеси, вытесняемый из резервуара во время его закачки, принимаемый равный производительности насоса, м3/час;</t>
    </r>
  </si>
  <si>
    <t>Уоз, Увл – средние удельные выбросы из резервуара соответственно в осенне-зимний и весенне-летний периоды года, г/т (согласно прилож. 12 [1]);</t>
  </si>
  <si>
    <r>
      <t>G</t>
    </r>
    <r>
      <rPr>
        <vertAlign val="subscript"/>
        <sz val="12"/>
        <color theme="1"/>
        <rFont val="Times New Roman"/>
        <family val="1"/>
        <charset val="204"/>
      </rPr>
      <t>хр</t>
    </r>
    <r>
      <rPr>
        <sz val="12"/>
        <color theme="1"/>
        <rFont val="Times New Roman"/>
        <family val="1"/>
        <charset val="204"/>
      </rPr>
      <t xml:space="preserve"> – выбросы паров нефтепродуктов при хранении бензина автомобильного в одном резервуаре, т/год (согласно прилож. 13 [1]);</t>
    </r>
  </si>
  <si>
    <r>
      <t>С</t>
    </r>
    <r>
      <rPr>
        <vertAlign val="subscript"/>
        <sz val="12"/>
        <color theme="1"/>
        <rFont val="Times New Roman"/>
        <family val="1"/>
        <charset val="204"/>
      </rPr>
      <t>1</t>
    </r>
    <r>
      <rPr>
        <sz val="12"/>
        <color theme="1"/>
        <rFont val="Times New Roman"/>
        <family val="1"/>
        <charset val="204"/>
      </rPr>
      <t xml:space="preserve"> – концентрация паров нефтепродукта в резервуаре, г/м3 (согласно прилож. 12 [1]);</t>
    </r>
  </si>
  <si>
    <r>
      <t>К</t>
    </r>
    <r>
      <rPr>
        <vertAlign val="subscript"/>
        <sz val="12"/>
        <color theme="1"/>
        <rFont val="Times New Roman"/>
        <family val="1"/>
        <charset val="204"/>
      </rPr>
      <t>р</t>
    </r>
    <r>
      <rPr>
        <vertAlign val="superscript"/>
        <sz val="12"/>
        <color theme="1"/>
        <rFont val="Times New Roman"/>
        <family val="1"/>
        <charset val="204"/>
      </rPr>
      <t>max</t>
    </r>
    <r>
      <rPr>
        <sz val="12"/>
        <color theme="1"/>
        <rFont val="Times New Roman"/>
        <family val="1"/>
        <charset val="204"/>
      </rPr>
      <t xml:space="preserve"> - опытный коэффициент, характеризующий эксплуатационные особенности резервуара, (согласно прилож. 8 [1]);</t>
    </r>
  </si>
  <si>
    <r>
      <t>К</t>
    </r>
    <r>
      <rPr>
        <vertAlign val="subscript"/>
        <sz val="12"/>
        <color theme="1"/>
        <rFont val="Times New Roman"/>
        <family val="1"/>
        <charset val="204"/>
      </rPr>
      <t>НП</t>
    </r>
    <r>
      <rPr>
        <sz val="12"/>
        <color theme="1"/>
        <rFont val="Times New Roman"/>
        <family val="1"/>
        <charset val="204"/>
      </rPr>
      <t xml:space="preserve"> – опытный коэффициент, (согласно прилож. 12 [1]);</t>
    </r>
  </si>
  <si>
    <t>Nр – количество резервуаров, шт.</t>
  </si>
  <si>
    <t>2. Расчет выбросов загрязняющих веществ от резервуаров с дизельным топливом</t>
  </si>
  <si>
    <t xml:space="preserve">3. Расчет выбросов паров нефтепродуктов от средств перекачки  нефтепродуктов </t>
  </si>
  <si>
    <t xml:space="preserve">   Выбросы паров дизельного топлива по группам углеводородов (предельных и непредельных) и др. рассчитываются по формулам 4.2.4 и 4.2.5 [1]:</t>
  </si>
  <si>
    <t xml:space="preserve">     Количество выбросов паров нефтепродуктов в атмосферу из теплообменных аппаратов и средств перекачки определяется в зависимости от типа оборудования, вида продукта, ко-личества оборудования и времени его работы.</t>
  </si>
  <si>
    <t xml:space="preserve">     Максимальный (разовый) выброс от одной единицы оборудования рассчитываются по формуле:</t>
  </si>
  <si>
    <t xml:space="preserve">    Годовые (валовые) выбросы от одной единицы оборудования рассчитываются по формуле:</t>
  </si>
  <si>
    <t>G = (Q х T)/1000,  т/год</t>
  </si>
  <si>
    <t>М = Q /3,6,   г/с</t>
  </si>
  <si>
    <t>Q - 	удельное выделение загрязняющих веществ, кг/час (табл. 6.1 [1]) ;</t>
  </si>
  <si>
    <t>Т - фактический годовой фонд времени работы одной единицы оборудования, час.</t>
  </si>
  <si>
    <t>Таблица 3.1- Результаты расчетов выбросов от средств перекачки</t>
  </si>
  <si>
    <t>1. Методика расчета выбросов загрязняющих веществ в атмосферу при сварочных работах (по величинам удельных выбросов) РНД 211.2.02.03-2004. Астана 2004.</t>
  </si>
  <si>
    <t xml:space="preserve">   При выполнении сварочных работ атмосферный воздух загрязняется сварочным аэрозолем, в состав которого, в зависимости от вида сварки, марок электродов и флюса, входят вредные для здоровья оксиды металлов (марганца, хрома и др.), газообразные (фтористые соединения, оксиды углерода, азота и др.). </t>
  </si>
  <si>
    <t xml:space="preserve">   Количество образующихся при сварке пыли и газов принято характеризовать валовыми выделениями, отнесенными к одному килограмму расходуемых материалов. Удельные валовые выделения приняты согласно методических указаний [1].</t>
  </si>
  <si>
    <t xml:space="preserve">   Определение количества выделяющихся вредных веществ (г/с, т/год) производится по формулам в зависимости от расхода электродов, [1]:</t>
  </si>
  <si>
    <t>где</t>
  </si>
  <si>
    <r>
      <t>К</t>
    </r>
    <r>
      <rPr>
        <vertAlign val="subscript"/>
        <sz val="12"/>
        <rFont val="Times New Roman"/>
        <family val="1"/>
        <charset val="204"/>
      </rPr>
      <t>m</t>
    </r>
    <r>
      <rPr>
        <vertAlign val="superscript"/>
        <sz val="12"/>
        <rFont val="Times New Roman"/>
        <family val="1"/>
        <charset val="204"/>
      </rPr>
      <t>x</t>
    </r>
    <r>
      <rPr>
        <sz val="12"/>
        <rFont val="Times New Roman"/>
        <family val="1"/>
        <charset val="204"/>
      </rPr>
      <t xml:space="preserve"> - удельный показатель выделяемого загрязняющего вещества на 1 кг расходуемых сварочных материалов, г/кг;</t>
    </r>
  </si>
  <si>
    <t>Bч - масса расходуемого за час сварочного материала, кг/час;</t>
  </si>
  <si>
    <t>Bг - масса расходуемого за год сварочного материала, кг/год.</t>
  </si>
  <si>
    <t>n -степень очистки воздуха в соотвующем аппарате, которым снабжается группа технологических агрегатов, кг/год.</t>
  </si>
  <si>
    <t>ИЗ</t>
  </si>
  <si>
    <t>КПД очистки, %</t>
  </si>
  <si>
    <t xml:space="preserve">4. Расчет выбросов при проведении электрогазосварочных работ </t>
  </si>
  <si>
    <t xml:space="preserve">Электросварочные работы </t>
  </si>
  <si>
    <t>Удельные валовые выделения при использовании электродов и результаты расчетов приведены в таблице  4.1</t>
  </si>
  <si>
    <t>Газовая резка металлов</t>
  </si>
  <si>
    <t xml:space="preserve">  Количество загрязняющих веществ, выбрасываемых в воздушный бассейн при резке металлов, определяются на длину реза (г/м). </t>
  </si>
  <si>
    <r>
      <t>К</t>
    </r>
    <r>
      <rPr>
        <vertAlign val="superscript"/>
        <sz val="12"/>
        <rFont val="Times New Roman"/>
        <family val="1"/>
        <charset val="204"/>
      </rPr>
      <t>x</t>
    </r>
    <r>
      <rPr>
        <vertAlign val="subscript"/>
        <sz val="12"/>
        <rFont val="Times New Roman"/>
        <family val="1"/>
        <charset val="204"/>
      </rPr>
      <t>δ</t>
    </r>
    <r>
      <rPr>
        <sz val="12"/>
        <rFont val="Times New Roman"/>
        <family val="1"/>
        <charset val="204"/>
      </rPr>
      <t xml:space="preserve"> – удельный показатель выброса загрязняющего вещества «х» на единицу времени работы оборудования, при толщине разрезаемого металла σ, г/ч;</t>
    </r>
  </si>
  <si>
    <t>Т - время работы одной единицы оборудования, час/год;</t>
  </si>
  <si>
    <t>1. Расчет выбросов от станков не оборудованные местными отсосами [1]:</t>
  </si>
  <si>
    <t>Мсек = k х g,  г/с</t>
  </si>
  <si>
    <t>где g - удельное выделение загрязняющего вещества (пыли) при работе станка, г/с;</t>
  </si>
  <si>
    <t>T - время работы станка в год, ч/год.</t>
  </si>
  <si>
    <t>k - коэффициент гравитационного оседания</t>
  </si>
  <si>
    <t xml:space="preserve">где </t>
  </si>
  <si>
    <r>
      <t>Мгод = 3600 х k х g х Тх10</t>
    </r>
    <r>
      <rPr>
        <b/>
        <vertAlign val="superscript"/>
        <sz val="14"/>
        <rFont val="Times New Roman"/>
        <family val="1"/>
        <charset val="204"/>
      </rPr>
      <t>-6</t>
    </r>
    <r>
      <rPr>
        <b/>
        <sz val="14"/>
        <rFont val="Times New Roman"/>
        <family val="1"/>
        <charset val="204"/>
      </rPr>
      <t xml:space="preserve">, т/год  </t>
    </r>
  </si>
  <si>
    <t>5. Расчет выбросов загрязняющих веществ от металлообрабатывающих станков</t>
  </si>
  <si>
    <t>η - КПД (%) очистки пылеулавливающего оборудования,</t>
  </si>
  <si>
    <t>g, г/с</t>
  </si>
  <si>
    <t>1. Методика расчета выбросов загрязняющих веществ в атмосферу при механической обработке металлов (по величинам удельных выбросов) РНД 211.2.02.06-2004. Астана 2004.</t>
  </si>
  <si>
    <t xml:space="preserve"> Список литературы:</t>
  </si>
  <si>
    <t xml:space="preserve">Таблица 5.1 - Результаты расчетов выбросов при механической обработке металла </t>
  </si>
  <si>
    <t>1. Методика расчета выбросов загрязняющих веществ от автотранспортных предприятий. Астана,2008г.</t>
  </si>
  <si>
    <t xml:space="preserve">    Расчет выбросов вредных веществ в атмосферу при промывке деталей производится на основании удельных показателей [1]. </t>
  </si>
  <si>
    <t xml:space="preserve">   Количество вредных веществ, выделяемых в процессе промывки деталей, определяется по формуле:</t>
  </si>
  <si>
    <t>Мс = g х S,   г/с</t>
  </si>
  <si>
    <r>
      <t>Мг = g х S х Т x 3600 х 10</t>
    </r>
    <r>
      <rPr>
        <b/>
        <vertAlign val="superscript"/>
        <sz val="14"/>
        <color theme="1"/>
        <rFont val="Times New Roman"/>
        <family val="1"/>
        <charset val="204"/>
      </rPr>
      <t>-6</t>
    </r>
    <r>
      <rPr>
        <b/>
        <sz val="14"/>
        <color theme="1"/>
        <rFont val="Times New Roman"/>
        <family val="1"/>
        <charset val="204"/>
      </rPr>
      <t>, т/год</t>
    </r>
  </si>
  <si>
    <t>g - удельный количества вещества, выделяющегося с единицы поверхности ванны, г/с*м2;</t>
  </si>
  <si>
    <t>Т - время работы, час/год.</t>
  </si>
  <si>
    <t>S - площадь зеркала ванны, м2;</t>
  </si>
  <si>
    <t>Таблица 6.1 - Результаты расчетов выбросов в процессе мойки и обезжиривании деталей</t>
  </si>
  <si>
    <t xml:space="preserve">6. Расчет выбросов загрязняющих веществ в процессе мойки и обезжиривании деталей </t>
  </si>
  <si>
    <t>Мойка для деталей автоматическая АМ600 ЭКО</t>
  </si>
  <si>
    <t>Мойка для деталей автоматическая  АМ600 ЭКО</t>
  </si>
  <si>
    <t xml:space="preserve">      Расчет валовых выбросов загрязняющих веществ определяется по формуле [1]:</t>
  </si>
  <si>
    <t xml:space="preserve">      Максимально разовый выброс определяется по формуле [1]:</t>
  </si>
  <si>
    <t>Мсек = Мгод х 106 /(t х 3600), г/с</t>
  </si>
  <si>
    <t>где  t - время «чистой» пайки в год, час/ год.</t>
  </si>
  <si>
    <t>7. Расчет выбросов загрязняющих веществ при медницких работах</t>
  </si>
  <si>
    <t xml:space="preserve"> 1 . Методика расчета выбросов загрязняющих веществ от автотранспортных предприятий (приказ Министра ООС РК от «18» 04 2008 года № 100-п).</t>
  </si>
  <si>
    <r>
      <t>Мгод = q x m x 10</t>
    </r>
    <r>
      <rPr>
        <b/>
        <vertAlign val="superscript"/>
        <sz val="14"/>
        <color theme="1"/>
        <rFont val="Times New Roman"/>
        <family val="1"/>
        <charset val="204"/>
      </rPr>
      <t>-6</t>
    </r>
    <r>
      <rPr>
        <b/>
        <sz val="14"/>
        <color theme="1"/>
        <rFont val="Times New Roman"/>
        <family val="1"/>
        <charset val="204"/>
      </rPr>
      <t>, т/год</t>
    </r>
  </si>
  <si>
    <t>m - масса израсходованного припоя за год, кг.</t>
  </si>
  <si>
    <t xml:space="preserve">q - удельные выделения свинца и оксидов олова, г/кг (таблица 4.8 [1]);  </t>
  </si>
  <si>
    <t xml:space="preserve">      Количество выбросов вредных веществ определяются по формуле [1]:</t>
  </si>
  <si>
    <t>Удельное выделение пыли на установку, г/с</t>
  </si>
  <si>
    <t>Таблица 8.1- Результаты расчетов выбросов от резервуаров с маслом</t>
  </si>
  <si>
    <t>8. Расчет выбросов загрязняющих веществ от резервуаров с маслов</t>
  </si>
  <si>
    <r>
      <t>M</t>
    </r>
    <r>
      <rPr>
        <b/>
        <vertAlign val="subscript"/>
        <sz val="14"/>
        <rFont val="Times New Roman"/>
        <family val="1"/>
        <charset val="204"/>
      </rPr>
      <t>сек</t>
    </r>
    <r>
      <rPr>
        <b/>
        <sz val="14"/>
        <rFont val="Times New Roman"/>
        <family val="1"/>
        <charset val="204"/>
      </rPr>
      <t xml:space="preserve"> = К</t>
    </r>
    <r>
      <rPr>
        <b/>
        <vertAlign val="superscript"/>
        <sz val="14"/>
        <rFont val="Times New Roman"/>
        <family val="1"/>
        <charset val="204"/>
      </rPr>
      <t>x</t>
    </r>
    <r>
      <rPr>
        <b/>
        <vertAlign val="subscript"/>
        <sz val="14"/>
        <rFont val="Times New Roman"/>
        <family val="1"/>
        <charset val="204"/>
      </rPr>
      <t>δ</t>
    </r>
    <r>
      <rPr>
        <b/>
        <sz val="14"/>
        <rFont val="Times New Roman"/>
        <family val="1"/>
        <charset val="204"/>
      </rPr>
      <t xml:space="preserve"> / 3600 х (1-n), г/с,</t>
    </r>
  </si>
  <si>
    <r>
      <t>M</t>
    </r>
    <r>
      <rPr>
        <b/>
        <vertAlign val="subscript"/>
        <sz val="14"/>
        <rFont val="Times New Roman"/>
        <family val="1"/>
        <charset val="204"/>
      </rPr>
      <t>год</t>
    </r>
    <r>
      <rPr>
        <b/>
        <sz val="14"/>
        <rFont val="Times New Roman"/>
        <family val="1"/>
        <charset val="204"/>
      </rPr>
      <t xml:space="preserve"> = К</t>
    </r>
    <r>
      <rPr>
        <b/>
        <vertAlign val="superscript"/>
        <sz val="14"/>
        <rFont val="Times New Roman"/>
        <family val="1"/>
        <charset val="204"/>
      </rPr>
      <t>x</t>
    </r>
    <r>
      <rPr>
        <b/>
        <vertAlign val="subscript"/>
        <sz val="14"/>
        <rFont val="Times New Roman"/>
        <family val="1"/>
        <charset val="204"/>
      </rPr>
      <t>δ</t>
    </r>
    <r>
      <rPr>
        <b/>
        <sz val="14"/>
        <rFont val="Times New Roman"/>
        <family val="1"/>
        <charset val="204"/>
      </rPr>
      <t xml:space="preserve"> х Т /1000000 х (1-n), т/год,</t>
    </r>
  </si>
  <si>
    <r>
      <t>M</t>
    </r>
    <r>
      <rPr>
        <b/>
        <vertAlign val="subscript"/>
        <sz val="14"/>
        <rFont val="Times New Roman"/>
        <family val="1"/>
        <charset val="204"/>
      </rPr>
      <t>сек</t>
    </r>
    <r>
      <rPr>
        <b/>
        <sz val="14"/>
        <rFont val="Times New Roman"/>
        <family val="1"/>
        <charset val="204"/>
      </rPr>
      <t xml:space="preserve"> = В</t>
    </r>
    <r>
      <rPr>
        <b/>
        <vertAlign val="subscript"/>
        <sz val="14"/>
        <rFont val="Times New Roman"/>
        <family val="1"/>
        <charset val="204"/>
      </rPr>
      <t xml:space="preserve">ч </t>
    </r>
    <r>
      <rPr>
        <b/>
        <sz val="14"/>
        <rFont val="Times New Roman"/>
        <family val="1"/>
        <charset val="204"/>
      </rPr>
      <t>× К</t>
    </r>
    <r>
      <rPr>
        <b/>
        <vertAlign val="subscript"/>
        <sz val="14"/>
        <rFont val="Times New Roman"/>
        <family val="1"/>
        <charset val="204"/>
      </rPr>
      <t>m</t>
    </r>
    <r>
      <rPr>
        <b/>
        <vertAlign val="superscript"/>
        <sz val="14"/>
        <rFont val="Times New Roman"/>
        <family val="1"/>
        <charset val="204"/>
      </rPr>
      <t>x</t>
    </r>
    <r>
      <rPr>
        <b/>
        <sz val="14"/>
        <rFont val="Times New Roman"/>
        <family val="1"/>
        <charset val="204"/>
      </rPr>
      <t xml:space="preserve"> / 3600 х (1-n), г/с,</t>
    </r>
  </si>
  <si>
    <r>
      <t>M</t>
    </r>
    <r>
      <rPr>
        <b/>
        <vertAlign val="subscript"/>
        <sz val="14"/>
        <rFont val="Times New Roman"/>
        <family val="1"/>
        <charset val="204"/>
      </rPr>
      <t>год</t>
    </r>
    <r>
      <rPr>
        <b/>
        <sz val="14"/>
        <rFont val="Times New Roman"/>
        <family val="1"/>
        <charset val="204"/>
      </rPr>
      <t xml:space="preserve"> = В</t>
    </r>
    <r>
      <rPr>
        <b/>
        <vertAlign val="subscript"/>
        <sz val="14"/>
        <rFont val="Times New Roman"/>
        <family val="1"/>
        <charset val="204"/>
      </rPr>
      <t xml:space="preserve">г </t>
    </r>
    <r>
      <rPr>
        <b/>
        <sz val="14"/>
        <rFont val="Times New Roman"/>
        <family val="1"/>
        <charset val="204"/>
      </rPr>
      <t>× К</t>
    </r>
    <r>
      <rPr>
        <b/>
        <vertAlign val="subscript"/>
        <sz val="14"/>
        <rFont val="Times New Roman"/>
        <family val="1"/>
        <charset val="204"/>
      </rPr>
      <t>m</t>
    </r>
    <r>
      <rPr>
        <b/>
        <vertAlign val="superscript"/>
        <sz val="14"/>
        <rFont val="Times New Roman"/>
        <family val="1"/>
        <charset val="204"/>
      </rPr>
      <t>x</t>
    </r>
    <r>
      <rPr>
        <b/>
        <sz val="14"/>
        <rFont val="Times New Roman"/>
        <family val="1"/>
        <charset val="204"/>
      </rPr>
      <t xml:space="preserve"> /1000000 х (1-n), т/год,</t>
    </r>
  </si>
  <si>
    <t>Полуавтомати-ческая сварка титановых сплавов</t>
  </si>
  <si>
    <t xml:space="preserve">Полуавтома-тическая сварка </t>
  </si>
  <si>
    <t>η ,%</t>
  </si>
  <si>
    <t>Помещение электролаборатории, мастерской АСУТП и КИП (Вентсистема В8)</t>
  </si>
  <si>
    <t>Таблица 7.1 - Результаты расчетов выбросов в процессе мойки и обезжиривании деталей</t>
  </si>
  <si>
    <t>1. Методика расчета нормативов выбросов от неорганизованных источников. Астана, 2014 г.</t>
  </si>
  <si>
    <t xml:space="preserve">Максимально-разовый выброс определяется согласно [1]: </t>
  </si>
  <si>
    <r>
      <t>q= A + B =  К1 х K2 х K3 х K4 х K5 х K7 x В’х G х 10</t>
    </r>
    <r>
      <rPr>
        <b/>
        <vertAlign val="superscript"/>
        <sz val="12"/>
        <color theme="1"/>
        <rFont val="Times New Roman"/>
        <family val="1"/>
        <charset val="204"/>
      </rPr>
      <t xml:space="preserve">-6 </t>
    </r>
    <r>
      <rPr>
        <b/>
        <sz val="12"/>
        <color theme="1"/>
        <rFont val="Times New Roman"/>
        <family val="1"/>
        <charset val="204"/>
      </rPr>
      <t>/ 3600  + K3 х K4 х K5 х K6 х K7 x q x F , г/с</t>
    </r>
  </si>
  <si>
    <t>Валовый выброс при пересыпке определяется:</t>
  </si>
  <si>
    <t>Qг пересыпка = К1 х К2 х К3 х К4 х К5 х К7 х G1 х В’, т/год</t>
  </si>
  <si>
    <t>Валовый выброс при хранении определяется:</t>
  </si>
  <si>
    <t>Qг хранения = qхранение х t х (365-Тс-Тд) х 3600 х 10-6, т/год</t>
  </si>
  <si>
    <t>А – выбросы при переработке (ссыпка, перевалка, перемещение) материала, г/с;</t>
  </si>
  <si>
    <t>В – выбросы при статическом хранении материала;</t>
  </si>
  <si>
    <t>k1 – весовая доля пылевой фракции в материале. Определяется путем отмывки и просева средней пробы с выделением фракции пыли размером 0-200 мкм соответствии с таблицей 1 согласно приложению к настоящей Методике;</t>
  </si>
  <si>
    <t>k2 – доля пыли (от всей массы пыли), переходящая в аэрозоль соответствии с таблицей 1 согласно приложению к настоящей Методике;</t>
  </si>
  <si>
    <t>k3 – коэффициент, учитывающий местные метеоусловия и принимаемый в соответствии с таблицей 2 согласно приложению к настоящей Методике;</t>
  </si>
  <si>
    <t>k4 – коэффициент, учитывающий местные условия, степень защищенности узла от внешних воздействий, условия пылеобразования. Данные приведены в таблице 3 согласно приложению к настоящей Методике;</t>
  </si>
  <si>
    <t>k5 – коэффициент, учитывающий влажность материала и принимаемый в соответствии с данными таблицы 4 согласно приложению к настоящей Методике;</t>
  </si>
  <si>
    <t>k6 – коэффициент, учитывающий профиль поверхности складируемого материала и определяемым как соотношение Fфакт/F. Значение k6 колеблется в пределах 1,3-1,6 в зависимости от крупности материала и степени заполнения;</t>
  </si>
  <si>
    <t>k7 – коэффициент, учитывающий крупность материала и принимаемый в соответствии с таблицей 5 согласно приложению к настоящей Методике;</t>
  </si>
  <si>
    <t>Fфакт – фактическая поверхность материала с учетом рельефа его сечения (учитывать только площадь, на которой производятся погрузочно-разгрузочные работы);</t>
  </si>
  <si>
    <t>F – поверхность пыления в плане, м2;</t>
  </si>
  <si>
    <t xml:space="preserve">q' – унос пыли с одною квадратного метра фактической поверхности в условиях, когда k4=1; k5=1, принимается в соответствии с данными таблицы 6 согласно приложению к настоящей Методике; </t>
  </si>
  <si>
    <t>G – суммарное количество перерабатываемого материала, т/ч;</t>
  </si>
  <si>
    <t>В' – коэффициент, учитывающий высоту пересыпки и принимаемый в соответствии с таблицей 7 согласно приложению к настоящей Методике. Склады и хвостохранилища рассматриваются как равномерно распределенные источники пылевыделения;</t>
  </si>
  <si>
    <t xml:space="preserve">G1 – суммарное количество перерабатываемого материала, т/год </t>
  </si>
  <si>
    <t>q хранение – максимально-разовый выброс при хранении, г/с;</t>
  </si>
  <si>
    <t>t – время хранения, ч/сут;</t>
  </si>
  <si>
    <t>Тс – годовое количество суток с устойчивым снежным покровом, сут;</t>
  </si>
  <si>
    <t>Тд – годовое количество суток с осадками в виде дождя, сут.</t>
  </si>
  <si>
    <t>Наимено-вание материала</t>
  </si>
  <si>
    <t>К1 – весовая доля пылевой фракции в материале. Определяется путем отмывки и просева средней пробы с выделением фракции пыли размером 0-200 мкм соответствии с таблицей 1 согласно приложению к настоящей Методике;</t>
  </si>
  <si>
    <t>К2 – доля пыли (от всей массы пыли), переходящая в аэрозоль соответствии с таблицей 1 согласно приложению к настоящей Методике;</t>
  </si>
  <si>
    <t>К3 – коэффициент, учитывающий местные метеоусловия и принимаемый в соответствии с таблицей 2 согласно приложению к настоящей Методике;</t>
  </si>
  <si>
    <t>К4 – коэффициент, учитывающий местные условия, степень защищенности узла от внешних воздействий, условия пылеобразования. Данные приведены в таблице 3 согласно приложению к настоящей Методике;</t>
  </si>
  <si>
    <t>К5 – коэффициент, учитывающий влажность материала и принимаемый в соответствии с данными таблицы 4 согласно приложению к настоящей Методике;</t>
  </si>
  <si>
    <t>К6 – коэффициент, учитывающий профиль поверхности складируемого материала и определяемым как соотношение Fфакт/F. Значение k6 колеблется в пределах 1,3-1,6 в зависимости от крупности материала и степени заполнения;</t>
  </si>
  <si>
    <t>К7 – коэффициент, учитывающий крупность материала и принимаемый в соответствии с таблицей 5 согласно приложению к настоящей Методике;</t>
  </si>
  <si>
    <r>
      <t>q= A + B =  К1 х K2 х K3 х K4 х K5 х K7 x В’х G х 10</t>
    </r>
    <r>
      <rPr>
        <b/>
        <vertAlign val="superscript"/>
        <sz val="14"/>
        <color theme="1"/>
        <rFont val="Times New Roman"/>
        <family val="1"/>
        <charset val="204"/>
      </rPr>
      <t xml:space="preserve">-6 </t>
    </r>
    <r>
      <rPr>
        <b/>
        <sz val="14"/>
        <color theme="1"/>
        <rFont val="Times New Roman"/>
        <family val="1"/>
        <charset val="204"/>
      </rPr>
      <t>/ 3600  + K3 х K4 х K5 х K6 х K7 x q x F , г/с</t>
    </r>
  </si>
  <si>
    <t>Данные для расчета выбросов и результаты расчета приведены в таблицах 9.1 и 9.2</t>
  </si>
  <si>
    <t>Таблица 9.1. – Выбросы пыли отсклада известняка</t>
  </si>
  <si>
    <t>0144</t>
  </si>
  <si>
    <t>Caterpillar</t>
  </si>
  <si>
    <t xml:space="preserve">qс = qпыли х (1 – n), г/сек, </t>
  </si>
  <si>
    <t>qг = 3,6 х qпыли х 10-3 х Т х (1 – n), т/год,</t>
  </si>
  <si>
    <t>1. Методика расчета выбросов загрязняющих веществ в атмосферу от автотранспортных предприятий. Астана, 2008 г.</t>
  </si>
  <si>
    <r>
      <t>q</t>
    </r>
    <r>
      <rPr>
        <vertAlign val="subscript"/>
        <sz val="12"/>
        <color theme="1"/>
        <rFont val="Times New Roman"/>
        <family val="1"/>
        <charset val="204"/>
      </rPr>
      <t>пыли</t>
    </r>
    <r>
      <rPr>
        <sz val="12"/>
        <color theme="1"/>
        <rFont val="Times New Roman"/>
        <family val="1"/>
        <charset val="204"/>
      </rPr>
      <t xml:space="preserve"> – удельный показатель выделения пыли, г/с, на установку; </t>
    </r>
  </si>
  <si>
    <t xml:space="preserve">      Т – время работы источника в году, ч;</t>
  </si>
  <si>
    <t xml:space="preserve">       n – степень очистки воздуха пылеулавливающим оборудованием, n=0, для пескоструйных аппаратов не оборудованных местными отсосами принимаем коэффициентом осаждения пыли в помещении.</t>
  </si>
  <si>
    <r>
      <t>Пыль неорганич. с сод. SiO</t>
    </r>
    <r>
      <rPr>
        <vertAlign val="sub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 xml:space="preserve">выше 70% </t>
    </r>
  </si>
  <si>
    <t xml:space="preserve">      При пескоструйной обработке источником выделения вредных веществ являются пескоструйные аппараты.</t>
  </si>
  <si>
    <t>Таблица 12.1 – Результаты расчетов выбросов загрязняющих веществ от центральной аналитической лаборатории</t>
  </si>
  <si>
    <t xml:space="preserve">      Расчет валовых выбросов (т/год) производится по формуле:</t>
  </si>
  <si>
    <t xml:space="preserve">                              МГ = МС × Т × 3600 / 1000000</t>
  </si>
  <si>
    <t>где МС – максимально-разовый выброс, г/с;</t>
  </si>
  <si>
    <t xml:space="preserve">       Т – годовой фонд рабочего времени источника, ч/год.</t>
  </si>
  <si>
    <t xml:space="preserve">      В качестве максимально-разовых выбросов принимаются  данные проектных решейний от аналогичного производства (таблица 12.1).</t>
  </si>
  <si>
    <t xml:space="preserve">Шкаф вытяжной для реактивов 600 ШР-М (LAB-01-00409 LAB-02-00409 LAB-03-00409 LAB-04-00409), Шкаф вытяжной печной ШВРП -1,6.0,9.2,1 (LAB-01-00405), Электропечь шахтная тигельная ЭПШТ-12 (LAB-01-00404 LAB-02-00404), Шкаф вытяжной ШВПэ – 1,3.1,0.2,1 (LAB-05-00404 LAB-06-00404), Пост для отбивки веркблеев ШВВ-0,8.0,5.1,5 (LAB-07-00404), Возвращение воздуха в помещение после очистки в фильтре), Шкаф вытяжной 1500 ШВк, KS-12 (LAB-01-00410 LAB-02-00410 LAB-03-00410), Шкаф вытяжной 980 ШВнп KS-12 (LAB-04-00410 LAB-05-00410), Шкаф вытяжной для реактивов  600 ШР-М (LAB-14-00410 LAB-15-00410), Шкаф вытяжной 1800 ВШк, KS-12 (LAB-01-00415), Шкаф вытяжной для реактивов 600 ШР-М (LAB-13-00415), Шкаф вытяжной 1500 ШВк, KS-12 (LAB-01-00414
LAB-02-00414), Шкаф вытяжной для нагревательных печей 980 ШВнп, KS-12 (LAB-03-00414 LAB-04-00414), Шкаф вытяжной для реактивов 600 ШР-М (LAB-14-00414), Шкаф вытяжной для шихтовки проб, ШВШ-1,6.0,9.2,0 (LAB-01-00403), Возвращение воздуха в помещение после очистки в фильтре), Смеситель, С50.0 "Пьяная бочка" (LAB-07-00402), Сушильный электрошкаф,  ЭШС-10.8.12, Дробилка щековая, ЩД 6 М (LAB-09-00402), Возвращение воздуха в помещение после очистки в фильтре), Атомно-абсорбционный спектрометр Analist 400/ICE3300 (LAB-06-00411), Шкаф вытяжной 1200 ВШк KS-12 (LAB-14-00411), Атомно-абсорбционный спектрометр Analist 400/ICE3300 (LAB-07-00411), Атомно-абсорбционный спектрометр Analist 400/ICE3300 (LAB-08-00412), Шкаф вытяжной 1200 ВШк KS-12 (LAB-14-00412), Шкаф вытяжной 1200ВШк KS-12 (LAB-06-00407) </t>
  </si>
  <si>
    <t xml:space="preserve">      В качестве максимально-разовых выбросов принимаются  данные проектных решейний от аналогичного производства (таблица 13.1).</t>
  </si>
  <si>
    <t xml:space="preserve">Емкость кислотной промывки угля (TKW-01-21104, TKW-02-21104), Емкость взвешивания угля (TKW-16-21101), Емкость воды для промывки угля (TKW-03-21104), Емкость пермеата (TKW-05-21104), Емкость расходная сульфаминовой кислоты (TKW-06-21104), Емкость нейтрализации промывных растворов (TKA-07-21104), Скруббер (CCR-08-21104), Бак оборотной воды (TKW-08-21104), Дренажный приямок участка кислотной промывки угля, Емкость десорбирующего раствора, объем 25 м³ (вредности указаны для одной единицы оборудования), Дренажный приямок участка десорбции, Сито дуговое (SCS-01-21107), Бункер загрузочный для угля (BNK-01-21107), Печь реактивации угля (DR-01-21107), Емкость  сбора водоугольной суспензии (TKA-01-211080), Фильтр-пресс (FLP-02-21108), Воздушный сепаратор (AFS-02-21108), Емкость  фильтрата (TKW-03-21108), Конвейер, ширина ленты – 600 мм, длина -  4000 мм, Дренажный приямок участка фильтрации угольной мелочи </t>
  </si>
  <si>
    <t xml:space="preserve">      В качестве максимально-разовых выбросов принимаются  данные проектных решейний от аналогичного производства (таблица 14.1).</t>
  </si>
  <si>
    <t>Таблица 15.1 – Результаты расчетов выбросов загрязняющих веществ от помещения склада извести</t>
  </si>
  <si>
    <t xml:space="preserve">      В качестве максимально-разовых выбросов принимаются  данные проектных решейний от аналогичного производства (таблица 15.1).</t>
  </si>
  <si>
    <t>Таблица 14.1 – Результаты расчетов выбросов загрязняющих веществ от ГМЦ и насосной УОП</t>
  </si>
  <si>
    <t>Склад техногенного грунта</t>
  </si>
  <si>
    <t>2026 год</t>
  </si>
  <si>
    <t>техногенный грунт</t>
  </si>
  <si>
    <t>Пыль неорг.с сод-м SiO2 70-20%</t>
  </si>
  <si>
    <t>Данные для расчета выбросов и результаты расчета приведены в таблица 16.1</t>
  </si>
  <si>
    <t>Площадка емкостей УСПК</t>
  </si>
  <si>
    <t xml:space="preserve">Площадка емкостей УСПК, местный отсос от крышки емкости накопительной пульпы концентрата №1 </t>
  </si>
  <si>
    <t>Емкость накопительная пульпы концентрата № 1 V= 1100 м³ (AGV-01-24100)</t>
  </si>
  <si>
    <t xml:space="preserve">Площадка емкостей УСПК, местный отсос от крышки емкости накопительной пульпы концентрата №2 </t>
  </si>
  <si>
    <t>Емкость накопительная пульпы концентрата № 2 V= 1100 м³ (AGV-02-24100)</t>
  </si>
  <si>
    <t xml:space="preserve">Площадка емкостей УСПК, местный отсос от крышки емкости смеси пульпы концентратов №3 </t>
  </si>
  <si>
    <t>Емкость смеси пульпы концентратов № 3, V= 1100 м³ (AGV-03-24100)</t>
  </si>
  <si>
    <t>Площадка емкостей УСПК, местный отсос от крышки емкости смеси пульпы концентратов №4</t>
  </si>
  <si>
    <t>Емкость смеси пульпы концентратов № 4, V= 1100 м³ (AGV-04-24100)</t>
  </si>
  <si>
    <t xml:space="preserve">      В качестве максимально-разовых выбросов принимаются  данные проектных решейний от аналогичного производства (таблица 16.1).</t>
  </si>
  <si>
    <t>Таблица 16.1 – Результаты расчетов выбросов загрязняющих веществ от площадки емкостей УСПК</t>
  </si>
  <si>
    <t>Участок хранения и подготовки извести и известняка (УХиПИиИ)</t>
  </si>
  <si>
    <t xml:space="preserve">Расходный склад извести (Общеобменная вентиляция) </t>
  </si>
  <si>
    <t>Узел погрузки 1/1a: Контейнер МКР-1 – бункер извести; Узел погрузки 2: Бункер извести – питатель ленточный №1 (FEB-01A-12800/ FEB-01C-12800); Узел погрузки 3: Питатель ленточный №1 (FEB-01A-12800/ FEB-01C-12800) - конвейер ленточный №1 (CNT-01A-12800/ CNT-01B-12800)</t>
  </si>
  <si>
    <t>014101</t>
  </si>
  <si>
    <t>Расходный склад извести (Местный отсос)</t>
  </si>
  <si>
    <t>Узел погрузки 1: Контейнер МКР-1 – бункер извести; Узел погрузки 2: Бункер извести – питатель ленточный №1 (FEB-01A-12800); Узел погрузки 3: Питатель ленточный №1 (FEB-01A-12800) - конвейер ленточный №1 (CNT-01A-12800)</t>
  </si>
  <si>
    <t>0142</t>
  </si>
  <si>
    <t>Расходный склад известняка (Местный отсос)</t>
  </si>
  <si>
    <t>Узел погрузки 4: Погрузчик-бункер известняка; Узел погрузки 5: Бункер известняка - питатель ленточный №2 (FEB-01B-12800); Узел погрузки 6: питатель ленточный №2 (FEB-01B-12800) - конвейер ленточный №1 (CNT-01A-12800)</t>
  </si>
  <si>
    <t>В6</t>
  </si>
  <si>
    <t xml:space="preserve">      В качестве максимально-разовых выбросов принимаются  данные проектных решейний от аналогичного производства (таблица 17.1).</t>
  </si>
  <si>
    <t>Таблица 18.1 – Выбросы пыли отсклада техногенного грунта</t>
  </si>
  <si>
    <t>18. Расчет выбросов загрязняющих веществ от склада техногенного грунта</t>
  </si>
  <si>
    <t>Насосная станция УСПК (Вентсистема В3)</t>
  </si>
  <si>
    <t>Насосная станция УСПК (Вентсистема В4)</t>
  </si>
  <si>
    <t>Насосная станция УСПК (Вентсистема В5)</t>
  </si>
  <si>
    <t>Насосная станция УСПК (Вентсистема В6)</t>
  </si>
  <si>
    <t>0135</t>
  </si>
  <si>
    <t>0136</t>
  </si>
  <si>
    <t>0137</t>
  </si>
  <si>
    <t>0138</t>
  </si>
  <si>
    <t>0139</t>
  </si>
  <si>
    <t>0140</t>
  </si>
  <si>
    <t>Расходный склад извести (Вентсистема В4а, В4b)</t>
  </si>
  <si>
    <t>0141</t>
  </si>
  <si>
    <t xml:space="preserve">Тягач с полуприцепом MAN </t>
  </si>
  <si>
    <t xml:space="preserve">TGS 26.440 </t>
  </si>
  <si>
    <r>
      <t xml:space="preserve"> </t>
    </r>
    <r>
      <rPr>
        <b/>
        <sz val="12"/>
        <color theme="1"/>
        <rFont val="Times New Roman"/>
        <family val="1"/>
        <charset val="204"/>
      </rPr>
      <t>Список литературы:</t>
    </r>
    <r>
      <rPr>
        <sz val="12"/>
        <color theme="1"/>
        <rFont val="Times New Roman"/>
        <family val="1"/>
        <charset val="204"/>
      </rPr>
      <t xml:space="preserve">        </t>
    </r>
  </si>
  <si>
    <t>1. Методика расчета выбросов вредных веществ от предприятий дорожно-строительной отрасли, в том числе от асфальтобетонных заводов (приложение № 3 к приказу МООС РК от 18.04.2008 г. № 100-п).</t>
  </si>
  <si>
    <t xml:space="preserve">            Выброс загрязняющих веществ одной дорожной машиной данной группы в день при движении и работе на территории предприятия рассчитывается по формуле:</t>
  </si>
  <si>
    <t>М1 = МL x Tv1 + 1,3 x МL x Tv1n + Mxx x Txs, г</t>
  </si>
  <si>
    <t xml:space="preserve">             Максимальный разовый выброс от 1 машины данной группы рассчитывается по формуле:</t>
  </si>
  <si>
    <t xml:space="preserve">М1 = МL x Tv2 + 1,3 x МL x Tv2n + Mxx x Txm, г/30 мин </t>
  </si>
  <si>
    <r>
      <t>М</t>
    </r>
    <r>
      <rPr>
        <b/>
        <vertAlign val="subscript"/>
        <sz val="14"/>
        <color theme="1"/>
        <rFont val="Times New Roman"/>
        <family val="1"/>
        <charset val="204"/>
      </rPr>
      <t>4</t>
    </r>
    <r>
      <rPr>
        <b/>
        <sz val="14"/>
        <color theme="1"/>
        <rFont val="Times New Roman"/>
        <family val="1"/>
        <charset val="204"/>
      </rPr>
      <t>год = А x М1 х Nk x Dn х 10-6,  т/год</t>
    </r>
  </si>
  <si>
    <r>
      <t>М</t>
    </r>
    <r>
      <rPr>
        <b/>
        <vertAlign val="subscript"/>
        <sz val="14"/>
        <color theme="1"/>
        <rFont val="Times New Roman"/>
        <family val="1"/>
        <charset val="204"/>
      </rPr>
      <t>1</t>
    </r>
    <r>
      <rPr>
        <b/>
        <sz val="14"/>
        <color theme="1"/>
        <rFont val="Times New Roman"/>
        <family val="1"/>
        <charset val="204"/>
      </rPr>
      <t>год = М</t>
    </r>
    <r>
      <rPr>
        <b/>
        <vertAlign val="subscript"/>
        <sz val="14"/>
        <color theme="1"/>
        <rFont val="Times New Roman"/>
        <family val="1"/>
        <charset val="204"/>
      </rPr>
      <t>i</t>
    </r>
    <r>
      <rPr>
        <b/>
        <vertAlign val="superscript"/>
        <sz val="14"/>
        <color theme="1"/>
        <rFont val="Times New Roman"/>
        <family val="1"/>
        <charset val="204"/>
      </rPr>
      <t xml:space="preserve">m </t>
    </r>
    <r>
      <rPr>
        <b/>
        <sz val="14"/>
        <color theme="1"/>
        <rFont val="Times New Roman"/>
        <family val="1"/>
        <charset val="204"/>
      </rPr>
      <t>+ М</t>
    </r>
    <r>
      <rPr>
        <b/>
        <vertAlign val="subscript"/>
        <sz val="14"/>
        <color theme="1"/>
        <rFont val="Times New Roman"/>
        <family val="1"/>
        <charset val="204"/>
      </rPr>
      <t>i</t>
    </r>
    <r>
      <rPr>
        <b/>
        <vertAlign val="superscript"/>
        <sz val="14"/>
        <color theme="1"/>
        <rFont val="Times New Roman"/>
        <family val="1"/>
        <charset val="204"/>
      </rPr>
      <t>x</t>
    </r>
    <r>
      <rPr>
        <b/>
        <sz val="14"/>
        <color theme="1"/>
        <rFont val="Times New Roman"/>
        <family val="1"/>
        <charset val="204"/>
      </rPr>
      <t xml:space="preserve"> + M</t>
    </r>
    <r>
      <rPr>
        <b/>
        <vertAlign val="subscript"/>
        <sz val="14"/>
        <color theme="1"/>
        <rFont val="Times New Roman"/>
        <family val="1"/>
        <charset val="204"/>
      </rPr>
      <t>i</t>
    </r>
    <r>
      <rPr>
        <b/>
        <vertAlign val="superscript"/>
        <sz val="14"/>
        <color theme="1"/>
        <rFont val="Times New Roman"/>
        <family val="1"/>
        <charset val="204"/>
      </rPr>
      <t>n</t>
    </r>
    <r>
      <rPr>
        <b/>
        <sz val="14"/>
        <color theme="1"/>
        <rFont val="Times New Roman"/>
        <family val="1"/>
        <charset val="204"/>
      </rPr>
      <t>,  т/год</t>
    </r>
  </si>
  <si>
    <r>
      <t>М</t>
    </r>
    <r>
      <rPr>
        <b/>
        <vertAlign val="subscript"/>
        <sz val="14"/>
        <color theme="1"/>
        <rFont val="Times New Roman"/>
        <family val="1"/>
        <charset val="204"/>
      </rPr>
      <t>4</t>
    </r>
    <r>
      <rPr>
        <b/>
        <sz val="14"/>
        <color theme="1"/>
        <rFont val="Times New Roman"/>
        <family val="1"/>
        <charset val="204"/>
      </rPr>
      <t xml:space="preserve">сек  =  M2 х Nkl / 1800, г/cек </t>
    </r>
  </si>
  <si>
    <t>Таблица 19.1- Результаты расчета выбросов загрязняющих веществ от автотранспорта</t>
  </si>
  <si>
    <t>Список литературы.</t>
  </si>
  <si>
    <t>1. Методика расчета выбросов от автотранспортных предприятий (приложение № 3 к приказу МООС РК от 18.04.2008 г. № 100-п).</t>
  </si>
  <si>
    <t xml:space="preserve">Выброс загрязняющих веществ одним автомобилем данной группы в день при выезде c территории или помещения стоянки (MikI) и возврате (MikII) рассчитывается по формулам [1]: </t>
  </si>
  <si>
    <t xml:space="preserve">MikI =  mпрik х tпр + mlik х L1 + mxxik х txx1, г </t>
  </si>
  <si>
    <t xml:space="preserve">MikII = mlik х L2 + mxxik х txx2, г </t>
  </si>
  <si>
    <t xml:space="preserve">mnрik - удельный выброс i-го вещества при прогреве двигателя автомобиля каждой группы,  г/мин </t>
  </si>
  <si>
    <t>mlik -   пробеговый выброс i-го вещества при движении по территории  автомобиля со скоростью 10-20 км/час, г/км</t>
  </si>
  <si>
    <t>mxxi -  удельный выброс i-го компонента при работе двигателя  на холостом ходу, г/мин</t>
  </si>
  <si>
    <t xml:space="preserve">tпр -     время прогрева двигателя, мин </t>
  </si>
  <si>
    <t>txx1, txx2 -    время работы двигателя на холостом ходу при выезде (возврате) на территорию предприятия, мин;</t>
  </si>
  <si>
    <t>L1, L2 – пробег по территории предприятия одного автомобиля в день при выезде (возврате), км.</t>
  </si>
  <si>
    <t>а - коэффициент выпуска;</t>
  </si>
  <si>
    <t>Nk - количество автомобилей каждой группы в хозяйстве;</t>
  </si>
  <si>
    <t>Dр - количество рабочих дней в расчетном периоде (холодном, теплом, переходном);</t>
  </si>
  <si>
    <t>j  - период года (теплый –Т, холодный-Х, переходный-П).</t>
  </si>
  <si>
    <t>Nkв – количество автомобилей, выезжающих в течении суток со стоянки.</t>
  </si>
  <si>
    <t xml:space="preserve">Miо= МiТ + МiХ +МiП, т/год </t>
  </si>
  <si>
    <t xml:space="preserve">Максимально разовый выброс i-го вещества рассчитывается по формуле:                  </t>
  </si>
  <si>
    <t xml:space="preserve">GiI =  MikI х Nik / 3600 , г/c </t>
  </si>
  <si>
    <t>Таблица 20.1 - Результаты выбросов загрязняющих веществ в атмосферу при въезде-выезде автотранспорта</t>
  </si>
  <si>
    <t>23</t>
  </si>
  <si>
    <r>
      <t>Mij =   х (MikI + MikII) х Nk х Dр х 10</t>
    </r>
    <r>
      <rPr>
        <b/>
        <vertAlign val="superscript"/>
        <sz val="14"/>
        <color theme="1"/>
        <rFont val="Times New Roman"/>
        <family val="1"/>
        <charset val="204"/>
      </rPr>
      <t>-6</t>
    </r>
    <r>
      <rPr>
        <b/>
        <sz val="14"/>
        <color theme="1"/>
        <rFont val="Times New Roman"/>
        <family val="1"/>
        <charset val="204"/>
      </rPr>
      <t xml:space="preserve">, т / год </t>
    </r>
  </si>
  <si>
    <t xml:space="preserve">     Валовый выброс i-го вещества автомобилями данной группы рассчитывается раздельно для каждого периода по формуле:</t>
  </si>
  <si>
    <t xml:space="preserve">     Для определения общего валового выброса, валовые выбросы одноименных веществ по периодам года суммируются</t>
  </si>
  <si>
    <t xml:space="preserve">      Для помещения зоны ТО и ТР валовый выброс i-го вещества от автомобилей рассчитывается по формуле:</t>
  </si>
  <si>
    <t>где ML  - пробеговый выброс ЗВ, г/км (таблицы 3.1-3.18) [1];</t>
  </si>
  <si>
    <t xml:space="preserve">      Mpr - удельный выброс ЗВ при прогреве, г/мин (таблицы 3.1-3.18) [1];</t>
  </si>
  <si>
    <t xml:space="preserve">      Tpr - время прогрева, Tpr = 1.5 мин;</t>
  </si>
  <si>
    <t xml:space="preserve">      Nk - количество ТО и ТР, проведенных в течении года для автомобилей данной группы.</t>
  </si>
  <si>
    <t xml:space="preserve">      Максимальный разовый выброс ЗВ рассчитывается по формуле:</t>
  </si>
  <si>
    <t>где Ntk - наибольшее количество автомобилей, въезжающих в зону и выезжающих из зоны ТО и ТР в течение часа.</t>
  </si>
  <si>
    <t xml:space="preserve">      Sn  - расстояние от ворот помещения до поста ТО и ТР, км;</t>
  </si>
  <si>
    <t xml:space="preserve">Mгод = (2 х ML х Sn + Mpr х Tpr) х Nk х 10-6, т/год)
</t>
  </si>
  <si>
    <t>Мсек = (ML х Sn + 0.5 х Mprх Tpr) х Ntk / 3600, г/сек</t>
  </si>
  <si>
    <t xml:space="preserve"> Значения удельных выбросов ML и Mpr принимаются для теплого периода года.</t>
  </si>
  <si>
    <t>21. Расчет выбросов загрязняющих веществ от автотранспорта на участках технического обслуживания (ТО), текущего ремонта (ТР) автомобилей</t>
  </si>
  <si>
    <t xml:space="preserve">      Расчёт Мсек производится для автомобилей, имеющих наибольшие удельные выбросы по i-му компоненту.
      Для определения общего валового выброса валовые выбросы одноименных веществ от разных групп автомобилей суммируются.
      Из полученных значений Мсек для разных групп автомобилей выбирается максимальное.    </t>
  </si>
  <si>
    <t>Таблица 21.1-Результаты расчета выбросов ЗВ при проведении ремонта и ТО</t>
  </si>
  <si>
    <t>ТОВАРИЩЕСТВО С ОГРАНИЧЕННОЙ ОТВЕТСТВЕННОСТЬЮ</t>
  </si>
  <si>
    <t>«ЛАБОРАТОРИЯ-АТМОСФЕРА»</t>
  </si>
  <si>
    <t>Лицензия МООС 01039Р от 14.07.2007 г.</t>
  </si>
  <si>
    <t>***</t>
  </si>
  <si>
    <t>на период эксплуатации</t>
  </si>
  <si>
    <t xml:space="preserve">Директор </t>
  </si>
  <si>
    <t>О.А.Ткаченко</t>
  </si>
  <si>
    <t>СПИСОК  ИСПОЛНИТЕЛЕЙ</t>
  </si>
  <si>
    <t>ТОО «Лаборатория-Атмосфера»</t>
  </si>
  <si>
    <t xml:space="preserve">               </t>
  </si>
  <si>
    <t>Н.Ю.Кинас</t>
  </si>
  <si>
    <t xml:space="preserve">Инженер-эколог </t>
  </si>
  <si>
    <t xml:space="preserve">             </t>
  </si>
  <si>
    <t>5.</t>
  </si>
  <si>
    <t xml:space="preserve">Расчет выбросов загрязняющих веществ </t>
  </si>
  <si>
    <t>г.Усть-Каменогорск, 2025 г.</t>
  </si>
  <si>
    <t>ОТЧЕТ О ВОЗМОЖНЫХ ВОЗДЕЙСТВИЯХ (ОоВВ)</t>
  </si>
  <si>
    <t>И.Г.Подскребко</t>
  </si>
  <si>
    <t>6.</t>
  </si>
  <si>
    <t>7.</t>
  </si>
  <si>
    <t>8.</t>
  </si>
  <si>
    <t>9.</t>
  </si>
  <si>
    <t>9. Расчет выбросов загрязняющих веществ при погрузочно-разгрузочных работах и хранении на площадке и складе извести</t>
  </si>
  <si>
    <t>10.</t>
  </si>
  <si>
    <t>11.</t>
  </si>
  <si>
    <t>Таблица 11.1 – Результаты расчета выбросов загрязняющих веществ от абразивоструйной камеры</t>
  </si>
  <si>
    <t>11. Расчет выбросов загрязняющих веществ от абразивоструйной камеры</t>
  </si>
  <si>
    <t xml:space="preserve">     Данные для расчета и результаты расчета выбросов загрязняющих веществ  сведены в таблицу 12.1.</t>
  </si>
  <si>
    <t xml:space="preserve">     Данные для расчета и результаты расчета выбросов загрязняющих веществ сведены в таблицу 11.1.</t>
  </si>
  <si>
    <t>12.</t>
  </si>
  <si>
    <t>13.</t>
  </si>
  <si>
    <t>12. Расчет выбросов загрязняющих веществ от центральной аналитической лаборатории</t>
  </si>
  <si>
    <t>13.Расчет выбросов загрязняющих веществ от корпуса CIL</t>
  </si>
  <si>
    <t>Таблица 13.1 – Результаты расчетов выбросов загрязняющих веществ от корпуса CIL</t>
  </si>
  <si>
    <t xml:space="preserve">     Данные для расчета и результаты расчета выбросов загрязняющих веществ  сведены в таблицу 13.1.</t>
  </si>
  <si>
    <t>14. Расчет выбросов загрязняющих веществ от гидрометаллургического цеха (ГМЦ) и насосной участка охлаждения пульпы (насосная УОП)</t>
  </si>
  <si>
    <t xml:space="preserve">     Данные для расчета и результаты расчета выбросов загрязняющих веществ  сведены в таблицу 14.1.</t>
  </si>
  <si>
    <t>14.</t>
  </si>
  <si>
    <t>15. Расчет выбросов загрязняющих веществ от помещения склада извести</t>
  </si>
  <si>
    <t xml:space="preserve">     Данные для расчета и результаты расчета выбросов загрязняющих веществ  сведены в таблицу 15.1.</t>
  </si>
  <si>
    <t>15.</t>
  </si>
  <si>
    <t>16. Расчет выбросов загрязняющих веществ от площадки емкостей УСПК</t>
  </si>
  <si>
    <t xml:space="preserve">     Данные для расчета и результаты расчета выбросов загрязняющих веществ  сведены в таблицу 16.1.</t>
  </si>
  <si>
    <t>16.</t>
  </si>
  <si>
    <t xml:space="preserve">     Данные для расчета и результаты расчета выбросов загрязняющих веществ  сведены в таблицу 17.1.</t>
  </si>
  <si>
    <t>17.</t>
  </si>
  <si>
    <t>18.</t>
  </si>
  <si>
    <t>19.</t>
  </si>
  <si>
    <t>20.</t>
  </si>
  <si>
    <t xml:space="preserve">20. Расчет выбросов загрязняющих веществ при  въезде-выезде автотранспорта </t>
  </si>
  <si>
    <t>21.</t>
  </si>
  <si>
    <t>стр.</t>
  </si>
  <si>
    <t>Расчет выбросов загрязняющих веществ от склада  резервуаров с дизтопливом.............................................................................................................</t>
  </si>
  <si>
    <t>Расчет выбросов загрязняющих веществ от насосной станции….......................</t>
  </si>
  <si>
    <t>Расчет выбросов загрязняющих веществ при проведении сварочных работ….</t>
  </si>
  <si>
    <t>Расчет выбросов загрязняющих веществ от металлообрабатывающих станков.…..….............................…...…...…...…...…...…...…...............…....….....</t>
  </si>
  <si>
    <t>Расчет выбросов загрязняющих веществ в процессе мойки и обезжиривании деталей .….…...…...……..................................……..…...…..................…....….....</t>
  </si>
  <si>
    <t xml:space="preserve"> Расчет выбросов загрязняющих веществ при медницких работах ...……..........</t>
  </si>
  <si>
    <t>Расчет выбросов загрязняющих веществ от резервуаров с маслом.………........</t>
  </si>
  <si>
    <t>Расчет выбросов загрязняющих веществ при погрузочно-разгрузочных работах и хранении на площадке и складе извести.……....…..............................</t>
  </si>
  <si>
    <t>Расчет выбросов загрязняющих вещест от центральной аналитической лаборатории………....................................................................................................</t>
  </si>
  <si>
    <t>Расчет выбросов загрязняющих веществ от корпуса CIL…..................................</t>
  </si>
  <si>
    <t>Расчет выбросов загрязняющих веществ от гидрометаллургического цеха (ГМЦ) и насосной участка охлаждения пульпы (насосная УОП)………............</t>
  </si>
  <si>
    <t>Расчет выбросов загрязняющих веществ от помещения склада извести…….....</t>
  </si>
  <si>
    <t xml:space="preserve">Расчет выбросов загрязняющих веществ от площадки емкостей УСПК............. </t>
  </si>
  <si>
    <t xml:space="preserve">Расчет выбросов загрязняющих веществ от участка хранения и подготовки извести и известняка (УХиПИиИ)К….................................................................... </t>
  </si>
  <si>
    <t xml:space="preserve"> Расчет выбросов загрязняющих веществ при  работе и движении техники по территории предприятия…..................................................................................... </t>
  </si>
  <si>
    <t xml:space="preserve">Расчет выбросов загрязняющих веществ от автотранспорта на участках технического обслуживания (ТО), текущего ремонта (ТР) автомобилей…........ </t>
  </si>
  <si>
    <t>Расчет выбросов загрязняющих веществ при  въезде-выезде автотранспорта</t>
  </si>
  <si>
    <t>Расчет выбросов загрязняющих веществ от склада техногенного грунта….......</t>
  </si>
  <si>
    <t>Расчет выбросов загрязняющих веществ от абразивоструйной камеры...…..…</t>
  </si>
  <si>
    <t xml:space="preserve">СТРОИТЕЛЬСТВО ГИДРОМЕТАЛЛУРГИЧЕСКОГО ЦЕХА И ОБЪЕКТОВ ИНФРАСТРУКТУРЫ ПРЕДПРИЯТИЯ </t>
  </si>
  <si>
    <t xml:space="preserve"> ТОО "ЕРТИС ГИДРОМЕТЛЛУРГИЧЕСКИЙ КОМБИНАТ"</t>
  </si>
  <si>
    <t xml:space="preserve">СТ РК ISO 9001-2016, СТ РК ISO 14001-2016, СТ РК ISO 45001-2019  </t>
  </si>
  <si>
    <t>2027 год</t>
  </si>
  <si>
    <t>2028 год</t>
  </si>
  <si>
    <t>2029 год</t>
  </si>
  <si>
    <t>Наименование</t>
  </si>
  <si>
    <t>код ЗВ</t>
  </si>
  <si>
    <t>ИТОГО</t>
  </si>
  <si>
    <t>год нормирования</t>
  </si>
  <si>
    <t>Наименование ЗВ</t>
  </si>
  <si>
    <t>Этиловый спирт</t>
  </si>
  <si>
    <t>Углеводороды С12-С19</t>
  </si>
  <si>
    <t>Пыль неорг. с содержанием SiO2 70-20 %</t>
  </si>
  <si>
    <t>ИТОГО:</t>
  </si>
  <si>
    <t>Котельгная</t>
  </si>
  <si>
    <t>Резервуар д/топливом</t>
  </si>
  <si>
    <t>Насосная станция ДТ</t>
  </si>
  <si>
    <t>0019</t>
  </si>
  <si>
    <t>Помещение РММ. (Вентсистема В1)</t>
  </si>
  <si>
    <t>Помещение участковых работ. (Вентсистема В2)</t>
  </si>
  <si>
    <t>Помещение сварки спецматериалов. (Вентсистема В3)</t>
  </si>
  <si>
    <t>Помещение ремонта оборудования КС. (Вентсистема В4)</t>
  </si>
  <si>
    <t>Помещение РММ. (Вентсистема В13, местный отсос)</t>
  </si>
  <si>
    <t>Аварийная ДЭС</t>
  </si>
  <si>
    <t>0116</t>
  </si>
  <si>
    <t>Помещение склада извести</t>
  </si>
  <si>
    <t>6003</t>
  </si>
  <si>
    <t>ГМЦ. Участок автоклавного окисления (Вентсистема В1)</t>
  </si>
  <si>
    <t>ГМЦ. Участок автоклавного окисления (Вентсистема В2)</t>
  </si>
  <si>
    <t>ГМЦ. Участок автоклавного окисления (Вентсистема В3)</t>
  </si>
  <si>
    <t>ГМЦ. Участок автоклавного окисления (Вентсистема В4)</t>
  </si>
  <si>
    <t>ГМЦ. Участок подготовки воды и пара  (Вентсистема В6)</t>
  </si>
  <si>
    <t>ГМЦ. Участок подготовки воды и пара  (Вентсистема В7)</t>
  </si>
  <si>
    <t>ГМЦ. Участок подготовки воды и пара  (Вентсистема В19)</t>
  </si>
  <si>
    <t>ГМЦ. Участок автоклавного окисления (Вентсистема В20)</t>
  </si>
  <si>
    <t>ГМЦ. Участок автоклавного окисления (Вентсистема В21)</t>
  </si>
  <si>
    <t>ГМЦ. Участок автоклавного окисления (Вентсистема В22)</t>
  </si>
  <si>
    <t>ГМЦ. Участок автоклавного окисления (Вентсистема В23)</t>
  </si>
  <si>
    <t>ГМЦ. Участок автоклавного окисления (Вентсистема В24)</t>
  </si>
  <si>
    <t>ГМЦ. Участок автоклавного окисления (Вентсистема В25)</t>
  </si>
  <si>
    <t>ГМЦ. Участок растаривания и подготовки концентратов (Вентсистема В31a, В31b)</t>
  </si>
  <si>
    <t>ГМЦ. Участок растаривания и подготовки концентратов (Вентсистема В32)</t>
  </si>
  <si>
    <t>ГМЦ. Участок растаривания и подготовки концентратов (Вентсистема В33)</t>
  </si>
  <si>
    <t>ГМЦ. Участок растаривания и подготовки концентратов (Вентсистема В34)</t>
  </si>
  <si>
    <t>ГМЦ. Участок растаривания и подготовки концентратов (Вентсистема В35)</t>
  </si>
  <si>
    <t>ГМЦ. Участок кондиционирования пара (Вентсистема ВЕ6-ВЕ13)</t>
  </si>
  <si>
    <t>Насосная УОП. (Вентсистема В1)</t>
  </si>
  <si>
    <t>Насосная УОП. (Вентсистема В2)</t>
  </si>
  <si>
    <t>Насосная УОП. (Вентсистема В3)</t>
  </si>
  <si>
    <t>Насосная УОП. (Вентсистема В4)</t>
  </si>
  <si>
    <t>УХиПИиИ, Площадка №1 склада известняка</t>
  </si>
  <si>
    <t>УХиПИиИ, Площадка №2 склада известняка</t>
  </si>
  <si>
    <t>008</t>
  </si>
  <si>
    <t>Помещение РММ (Вентсистема В1)</t>
  </si>
  <si>
    <t>01-02</t>
  </si>
  <si>
    <t>02-03</t>
  </si>
  <si>
    <t>ККорпус CIL (Вентсистема В27a, В27b)</t>
  </si>
  <si>
    <t>- котел жаротрубный водогрейный М3А (ист.0001-0004);</t>
  </si>
  <si>
    <t>- котел жаротрубный водогрейный М2А (ист.0005).</t>
  </si>
  <si>
    <t xml:space="preserve">     Расходный склад дизельного топлива:</t>
  </si>
  <si>
    <t>- площадка емкостей ДТ (ист.0006, 0007);</t>
  </si>
  <si>
    <t>- насосная станция ДТ (ист.6001).</t>
  </si>
  <si>
    <t>- сварочные работы (01);</t>
  </si>
  <si>
    <t>- металлообработка (02);</t>
  </si>
  <si>
    <t>- мойка деталей (03);</t>
  </si>
  <si>
    <t>- абразивоструйная обработка поверхностей (04);</t>
  </si>
  <si>
    <t>- автотранспорт (05).</t>
  </si>
  <si>
    <t>- мойка деталей.</t>
  </si>
  <si>
    <t xml:space="preserve">     Котельная на дизельном топливе:</t>
  </si>
  <si>
    <t xml:space="preserve">     Ремонтно-механическая мастерская (РММ):</t>
  </si>
  <si>
    <t xml:space="preserve">    Помещение ремонтно-механической мастерской (Вентсистема В1, крышный вентилятор КРОВ91-071-Т80-Н-00400/6F-У1, V=17000 м3/час, h=11,87 м, d=0,71 м, ист.0008):</t>
  </si>
  <si>
    <t xml:space="preserve">     Помещение ремонтно-механической мастерской (Вентсистема В13, местный отсос, V=3000 м3/час, h=12,67 м, d=0,4 м, ист.0009):</t>
  </si>
  <si>
    <t xml:space="preserve">     Помещение участковых работ (Вентсистема В2, крышный вентилятор КРОВ91-056-Т80-Н-00220/6F-У1, V=10100 м3/час, h=11,9 м, d=0,56 м, ист.0010):</t>
  </si>
  <si>
    <t>- мойка деталей/обезжиривание поверхности (03);</t>
  </si>
  <si>
    <t>- паяльные работы  (04);</t>
  </si>
  <si>
    <t xml:space="preserve">     Помещение участковых работ (Вентсистема В11, местный отсос, V=1500 м3/час, h=12,09 м, d=0,315 м, ист.0011):</t>
  </si>
  <si>
    <t xml:space="preserve">     Помещение участковых работ (Вентсистема В12, местный отсос, V=1500 м3/час, h=12,66 м, d=0,315 м, ист.0012):</t>
  </si>
  <si>
    <t xml:space="preserve">     Помещение сварки спецматериалов (Вентсистема В3, крышный вентилятор КРОВ91-071-Т80-Н-00400/6F-У1, V=16000 м3/час, h=11,88 м, d=0,71 м, ист.0013):</t>
  </si>
  <si>
    <t>- автотранспорт (04).</t>
  </si>
  <si>
    <t xml:space="preserve">     Помещение ремонта оборудования КС (Вентсистема В4, крышный вентилятор КРОВ91-040-Т80-Н-00110/4F-У1, V=4500 м3/час, h=12,025 м, d=0,4 м, ист.0015):</t>
  </si>
  <si>
    <t xml:space="preserve">     Помещение ремонта оборудования КС (Вентсистема В15, местный отсос, V=1500 м3/час, h=13,08 м, d=0,315 м, ист.0016):</t>
  </si>
  <si>
    <t xml:space="preserve">     Помещение ремонтного бокса (Вентсистема В5, крышный вентилятор КРОВ91-035-Т80-Н-00055/4F-У1, V=1600 м3/час, h=11,735 м, d=0,35 м, ист.0017):</t>
  </si>
  <si>
    <t>- диагностические работы (нахождение автотранспорта на ТО).</t>
  </si>
  <si>
    <t xml:space="preserve">     Помещение электролаборатории, лаборатории промэлектроники, мастерской АСУТП и КИП (Вентсистема В8, канальный вентилятор Канал ПКВ-60-30-4-400, V=3630 м3/час, h=11,835 м, d=0,45 м, ист.0019):</t>
  </si>
  <si>
    <t>- обезжиривание поверхности (01);</t>
  </si>
  <si>
    <t>- паяльные работы (02).</t>
  </si>
  <si>
    <t xml:space="preserve">     Склад производственный:</t>
  </si>
  <si>
    <t xml:space="preserve">     Складское помещение №1 (Вентсистема В1а, В1b, Крышный вентилятор КРОВ91-050-Т80-К1-00220/4F-У1, V=12040 м3/час, h=9,46 м, d=1,0 м, ист.0020):</t>
  </si>
  <si>
    <t>- въезд-выезд крана-манипулятора Камаз-43118 (01);</t>
  </si>
  <si>
    <t>- погрузочно-разгрузочные работы, вилочный погрузчик D20-4х, г/п 2000 кг (02).</t>
  </si>
  <si>
    <t xml:space="preserve">     Складское помещение №1 (Вентсистема В11, местный отсос, V=800 м3/час, h=10,36 м, d=0,2 м, ист.0021):</t>
  </si>
  <si>
    <t>- погрузочно-разгрузочные работы, кран-манипулятор Камаз-43118.</t>
  </si>
  <si>
    <t xml:space="preserve">     Складское помещение №2 (Вентсистема В2а, В2b, Крышный вентилятор КРОВ91-040-Т80-К1-00110/4F-У1, V=9370 м3/час, h=9,5 м, d=0,9 м, ист.0022):</t>
  </si>
  <si>
    <t>- погрузочно-разгрузочные работы, вилочный погрузчик D20-4х, г/п 2000 кг.</t>
  </si>
  <si>
    <t xml:space="preserve">     Складское помещение №4 (Вентсистема В3а, В3b, Крышный вентилятор КРОВ91-050-Т80-К1-00220/4F-У1, V=13770 м3/час, h=9,36 м, d=1,0 м, ист.0023):</t>
  </si>
  <si>
    <t>2030 год</t>
  </si>
  <si>
    <t>Помещение сварки спецма-териалов (Вентсистема В14, местный отсос)</t>
  </si>
  <si>
    <t>Помещение ремонта оборудо-вания КС (Вентсистема В15, местный отсос)</t>
  </si>
  <si>
    <t>Замена масла</t>
  </si>
  <si>
    <t>Отрабо-танное масло</t>
  </si>
  <si>
    <t>- замена масла (01).</t>
  </si>
  <si>
    <t>- въезд-выезд крана автомобильного КС 65713-1 (02);</t>
  </si>
  <si>
    <t>0017  01</t>
  </si>
  <si>
    <t>Склад извест-няка</t>
  </si>
  <si>
    <t>Склад техно-генного грунта</t>
  </si>
  <si>
    <t>Взвешенные частицы</t>
  </si>
  <si>
    <t>2930</t>
  </si>
  <si>
    <t>Пыль неорг. с содержанием SiO2 выше 70 %</t>
  </si>
  <si>
    <t>Натрия карбонат (сода кальционированная)</t>
  </si>
  <si>
    <t>Канифоль глицириновый эфир</t>
  </si>
  <si>
    <t>Олово оксид</t>
  </si>
  <si>
    <t>Свинец и его соединения</t>
  </si>
  <si>
    <t>2735</t>
  </si>
  <si>
    <t>Гидроционид</t>
  </si>
  <si>
    <t>Калиций карбонат</t>
  </si>
  <si>
    <t xml:space="preserve">     Складское помещение №4 (Вентсистема В12, местный отсос, V=800 м3/час, h=10,53 м, d=0,2 м, ист.0024):</t>
  </si>
  <si>
    <t xml:space="preserve">     Складское помещение №3 (Вентсистема В4а, В4b, Крышный вентилятор КРОВ91-040-Т80-К1-00110/4F-У1, V=10360 м3/час, h=9,35 м, d=1,0 м, ист.0025):</t>
  </si>
  <si>
    <t xml:space="preserve">     Складское помещение №5 (Вентсистема В5а, В5b, Крышный вентилятор КРОВ91-050-Т80-К1-00220/4F-У1, V=17860 м3/час, h=9,35 м, d=1,26 м, ист.0026):</t>
  </si>
  <si>
    <t xml:space="preserve">     Складское помещение №5 (Вентсистема В13, местный отсос, V=800 м3/час, h=10,53 м, d=0,2 м, ист.0027):</t>
  </si>
  <si>
    <t>- погрузочно-разгрузочные работы, вилочный погрузчик D50-4i, г/п 5000 кг.</t>
  </si>
  <si>
    <t xml:space="preserve">     Склад химических реагентов:</t>
  </si>
  <si>
    <t xml:space="preserve">     Склад концентрата:</t>
  </si>
  <si>
    <t xml:space="preserve">     Открытый склад оборудования и материалов:</t>
  </si>
  <si>
    <t xml:space="preserve">     Склад извести:</t>
  </si>
  <si>
    <t xml:space="preserve">     Склад известняка:</t>
  </si>
  <si>
    <t xml:space="preserve">     Центральная аналитическая лаборатория (ЦАЛ):</t>
  </si>
  <si>
    <t xml:space="preserve">     Погрузочно-разгрузочные работы, вилочный погрузчик D50-4х, кран автомобильный TADANO GR-500EX (ист.6002).</t>
  </si>
  <si>
    <t xml:space="preserve">     Погрузочно-разгрузочные работы, кран автомобильный TADANO GR-500EX (ист.6003).</t>
  </si>
  <si>
    <t xml:space="preserve">     Погрузочно-разгрузочные работы, вилочный погрузчик D50-4i, кран автомобильный TADANO GR-500EX (ист.6004).</t>
  </si>
  <si>
    <t xml:space="preserve">     Разгрузка известняка из автосамосвала, укладка в штабель, хранение в штабеле, погрузка в автосамосвал, работа техники (ист.6005).</t>
  </si>
  <si>
    <t xml:space="preserve">     Помещение ФХМА (ААС анализ) (Местный отсос) (Вентсистема В5, V=1900 м3/час, h=12 м, d=0,2 м, ист.0032).</t>
  </si>
  <si>
    <t xml:space="preserve">2029 год </t>
  </si>
  <si>
    <t>2029-2030</t>
  </si>
  <si>
    <t>2027-20230</t>
  </si>
  <si>
    <t>2027-2030</t>
  </si>
  <si>
    <t>Таблица 3 - Выбросы ЗВ по источникам загрязнения при работе авторанспортной техники (не нормируются)</t>
  </si>
  <si>
    <t>Таблица 4 - Выбросы ЗВ  при работе авторанспортной техники (не нормируются)</t>
  </si>
  <si>
    <t xml:space="preserve">     Экологическая лаборатория водных объектов (Местный отсос) (Вентсистема В6a, В6b, V=3600 м3/час, h=12 м, d=0,25 м, ист.0033).</t>
  </si>
  <si>
    <t xml:space="preserve">     Помещение анализа и контроля атмосферного воздуха, промышленных выбросов и воздуха рабочей зоны (Местный отсос) (Вентсистема В14a, В14b, V=1400 м3/час, h=12 м, d=0,16 м, ист.0038).</t>
  </si>
  <si>
    <t xml:space="preserve">     Гидрометаллургический цех (ГМЦ): </t>
  </si>
  <si>
    <t xml:space="preserve">     Участок автоклавного окисления, Венткамера (Вентсистема В2, V=22520 м3/час, h=25,2 м, d=0,87 м, ист.0042).</t>
  </si>
  <si>
    <t xml:space="preserve">     Участок автоклавного окисления (Вентсистема В4, V=22570 м3/час, h=29,5 м, d=1,07 м, ист.0044).</t>
  </si>
  <si>
    <t xml:space="preserve">     Участок подготовки воды и пара (Вентсистема В7, V=8400 м3/час, h=18,3 м, d=0,56 м, ист.0046).</t>
  </si>
  <si>
    <t xml:space="preserve">     Участок подготовки воды и пара (Вентсистема В19, V=18000 м3/час, h=18,3 м, d=0,63 м, ист.0047).</t>
  </si>
  <si>
    <t xml:space="preserve">     Участок автоклавного окисления (Вентсистема В20, V=17000 м3/час, h=28,7 м, d=0,63 м, ист.0048).</t>
  </si>
  <si>
    <t xml:space="preserve">     Участок автоклавного окисления (Вентсистема В22, V=17000 м3/час, h=28,7 м, d=0,63 м, ист.0050).</t>
  </si>
  <si>
    <t xml:space="preserve">     Участок автоклавного окисления (Вентсистема В23, V=17000 м3/час, h=28,7 м, d=0,63 м, ист.0051);</t>
  </si>
  <si>
    <t xml:space="preserve">     Участок автоклавного окисления (Вентсистема В24, V=17000 м3/час, h=24,8 м, d=0,63 м, ист.0052).</t>
  </si>
  <si>
    <t xml:space="preserve">     Участок автоклавного окисления (Вентсистема В25, V=17000 м3/час, h=24,8 м, d=0,63 м, ист.0053)</t>
  </si>
  <si>
    <t xml:space="preserve">     Участок автоклавного окисления, Участок растаривания и подготовки концентратов (Местный отсос) (Вентсистема В26а, В26b, V=1590 м3/час, h=27,9 м, d=0,2 м, ист.0054.</t>
  </si>
  <si>
    <t xml:space="preserve">     Участок растаривания и подготовки концентратов (Вентсистема В31а, В31b, V=5900 м3/час, h=27,4 м, d=0,45 м, ист.0055).</t>
  </si>
  <si>
    <t xml:space="preserve">     Участок растаривания и подготовки концентратов (Вентсистема В32, V=14750 м3/час, h=27,2 м, d=0,56 м, ист.0056).</t>
  </si>
  <si>
    <t xml:space="preserve">     Участок растаривания и подготовки концентратов (Вентсистема В33, V=14750 м3/час, h=27,2 м, d=0,56 м, ист.0057).</t>
  </si>
  <si>
    <t xml:space="preserve">     Участок растаривания и подготовки концентратов (Вентсистема В34, V=14750 м3/час, h=27,2 м, d=0,56 м, ист.0058).</t>
  </si>
  <si>
    <t xml:space="preserve">     Участок растаривания и подготовки концентратов (Вентсистема В35, V=14750 м3/час, h=27,2 м, d=0,56 м, ист.0059).</t>
  </si>
  <si>
    <t xml:space="preserve">     Участок растаривания и подготовки концентратов (Местный отсос) (Вентсистема В36, V=52900 м3/час, h=25,2 м, d=0,9 м, ист.0060).</t>
  </si>
  <si>
    <t xml:space="preserve">     Участок кондиционирования пара (Вентсистема ВЕ6-ВЕ13, V=21650 м3/час, h=47,7 м, d=1,32 м, ист.0061).</t>
  </si>
  <si>
    <r>
      <t xml:space="preserve">     </t>
    </r>
    <r>
      <rPr>
        <b/>
        <i/>
        <sz val="14"/>
        <color theme="1"/>
        <rFont val="Times New Roman"/>
        <family val="1"/>
        <charset val="204"/>
      </rPr>
      <t>Насосная участка охлаждения пульпы (Насосная УОП):</t>
    </r>
  </si>
  <si>
    <t xml:space="preserve">     Насосная (Вентсистема В1, V=2500 м3/час, h=10,3 м, d=0,4 м, ист.0062).</t>
  </si>
  <si>
    <t xml:space="preserve">     Насосная, ПСУ (Вентсистема В2, V=2610 м3/час, h=10,3 м, d=0,4 м, ист.0063).</t>
  </si>
  <si>
    <t xml:space="preserve">     Насосная, ПСУ (Вентсистема В3, V=9160 м3/час, h=10,3 м, d=0,45 м, ист.0064).</t>
  </si>
  <si>
    <t xml:space="preserve">     Насосная (Вентсистема В4, V=9160 м3/час, h=10,3 м, d=0,45 м, ист.0065).</t>
  </si>
  <si>
    <t xml:space="preserve">     Насосная (Вентсистема В5, V=180 м3/час, h=10,8 м, d=0,11 м, ист.0066).</t>
  </si>
  <si>
    <t xml:space="preserve">     Корпус CIL:</t>
  </si>
  <si>
    <t xml:space="preserve">     Участок сорбционного выщелачивания, Помещение аппаратчиков CIL, Профилактический пункт CIL, Помещение инвентаря, Профилактический пункт INCO, Помещение персонала, Помещение расхода цианида (Вентсистема В1a, В1b, В1c, V=47295 м3/час, h=25,4 м, d=1,37 м, ист.0067).</t>
  </si>
  <si>
    <t xml:space="preserve">     Помещение INCO процесса (Вентсистема В2a, В2b, V=16000 м3/час, h=28,9 м, d=1,0 м, ист.0068).</t>
  </si>
  <si>
    <t xml:space="preserve">     Участок приготовления известкового/известнякового молока, Помещение аппаратчика ИиИм (Вентсистема В3a, В3b, В3с, V=35260 м3/час, h=25,4 м, d=1,37 м, ист.0069).</t>
  </si>
  <si>
    <t xml:space="preserve">     Участок обратноосмотической очистки растворов, Операторская, Помещение приготовления реагентов (Вентсистема В5a, В5b, V=58650 м3/час, h=25,4 м, d=1,37 м, ист.0071).</t>
  </si>
  <si>
    <t xml:space="preserve">     Участок контрольной фильтрации (Вентсистема В4a, В4b, V=45000 м3/час, h=25,4 м, d=1,37 м, ист.0070).</t>
  </si>
  <si>
    <t xml:space="preserve">     Участок фильтрации угольной мелочи, Помещение охраны, Гардероб верхней одежды, Помещение мастеров (Вентсистема В6a, В6b, В6с, V=30770 м3/час, h=25,5 м, d=1,12 м, ист.0072).</t>
  </si>
  <si>
    <t xml:space="preserve">     Участок получения сплава доре, Автомобильный тамбур (Вентсистема В7a, В7b, V=3500 м3/час, h=25,5 м, d=0,4 м, ист.0073).</t>
  </si>
  <si>
    <t xml:space="preserve">     Участок электролиза (Вентсистема В8a, В8b, V=17430 м3/час, h=24,5 м, d=0,63 м, ист.0074).</t>
  </si>
  <si>
    <t xml:space="preserve">     Участок обработки шлака и рукавного фильтра, Место установки фильтра КФЕ, Сушка КО (Вентсистема В10a, В10b, V=7940 м3/час, h=24,5 м, d=0,355 м, ист.0075);</t>
  </si>
  <si>
    <t xml:space="preserve">     Участок приготовления реагентов (сульфаминовой кислоты и метабисульфата), Участок приготовления раствора цианида натрия (Вентсистема В11a, В11b, V=30300 м3/час, h=24,5 м, d=0,8 м, ист.0076).</t>
  </si>
  <si>
    <t xml:space="preserve">     Склад ЗИП, Кабинет сменных мастеров ОТК, Нарядная ОТК, Кабинет начальника и заместителя ОТК, Помещение для хранения дубликатов проб и ЗИП, Помещение анализа и обработки бедных проб, Аспирационная установка, Помещение анализа и обработки богатых проб, Помещение для РФА, хранения ЗИП и приборов, Помещение дробления, Помещение дистиллярной и подготовки химической посуды, Помещение экспресс-лаборатории, Кабинет инженера-технолога, Кабинет инженера-химика, Помещение исследовательской лаборатории, Венткамера (Вентсистема В16a, В16b, V=7850 м3/час, h=21 м, d=0,7 м, ист.0077).</t>
  </si>
  <si>
    <t xml:space="preserve">     Золотоприемная касса, Помещение ОТК, Помещение подготовки проб, Помещение дробления шлаков и КО, Помещение мастера  участка получения сплава доре, Вспомогательное помещение, Помещение охраны, Помещение уборщицы, Кладовая чистой спецодежды с местом для выдачи спецодежды, Кладовая грязной спецодежды с местом для сдачи спецодежды, Комната приема пищи / отдыха, Помещение сушки и глажки спецодежды, Помещение хранения моющих средств, Резервное помещение, Коридор (Вентсистема В19a, В19b, V=3600 м3/час, h=21 м, d=0,4 м, ист.0078).</t>
  </si>
  <si>
    <t xml:space="preserve">     Помещение INCO процесса (Вентсистема В24a, В24b, V=10500 м3/час, h=28,9 м, d=0,71 м, ист.0080).</t>
  </si>
  <si>
    <t xml:space="preserve">     Участок сорбционного выщелачивания (Вентсистема В23a, В23b, В23с, V=37000 м3/час, h=28,9 м, d=1,12 м, ист.0079).</t>
  </si>
  <si>
    <t xml:space="preserve">     Участок приготовления известкового/известнякового молока (Вентсистема В25a, В25b, В25с, V=34500 м3/час, h=25,4 м, d=1,12 м, ист.0081).</t>
  </si>
  <si>
    <t xml:space="preserve">     Участок контрольной фильтрации (Вентсистема В26a, В26b, V=43750 м3/час, h=25,4 м, d=1,25 м, ист.0082).</t>
  </si>
  <si>
    <t xml:space="preserve">     Участок контрольной фильтрации (Вентсистема В27a, В27b, V=43750 м3/час, h=25,4 м, d=1,25 м, ист.0083).</t>
  </si>
  <si>
    <t xml:space="preserve">     Участок сорбционного выщелачивания (Местный отсос) (Вентсистема В34a, В34b, V=11160 м3/час, h=28,9 м, d=0,45 м, ист.0084).</t>
  </si>
  <si>
    <t xml:space="preserve">     Участок сорбционного выщелачивания (Местный отсос) (Вентсистема В35a, В35b, V=2160 м3/час, h=28,9 м, d=0,2 м, ист.0085).</t>
  </si>
  <si>
    <t xml:space="preserve">     Участок сорбционного выщелачивания (Местный отсос) (Вентсистема В36a, В36b, V=2160 м3/час, h=28,9 м, d=0,2 м, ист.0086).</t>
  </si>
  <si>
    <t xml:space="preserve">     Участок сорбционного выщелачивания (Местный отсос) (Вентсистема В38a, В38b, V=3240 м3/час, h=28,9 м, d=0,25 м, ист.0088).</t>
  </si>
  <si>
    <t xml:space="preserve">     Помещение расхода цианида (Местный отсос) (Вентсистема В41a, В41b, V=360 м3/час, h=28,9 м, d=0,09 м, ист.0089).</t>
  </si>
  <si>
    <t xml:space="preserve">     Помещение INCO процесса (Местный отсос) (Вентсистема В42a, В42b, V=1860 м3/час, h=25,4 м, d=0,2 м, ист.0090).</t>
  </si>
  <si>
    <t xml:space="preserve">     Участок сорбционного выщелачивания (Местный отсос) (Вентсистема В43a, В43b, V=360 м3/час, h=25,4 м, d=0,09 м, ист.0091).</t>
  </si>
  <si>
    <t xml:space="preserve">     Участок фильтрации угольной мелочи (Местный отсос) (Вентсистема В44a, В44b, V=1440 м3/час, h=25,4 м, d=0,16 м, ист.0092).</t>
  </si>
  <si>
    <t xml:space="preserve">     Участок фильтрации угольной мелочи (Местный отсос) (Вентсистема В45, V=3600 м3/час, h=25,4 м, d=0,315 м, ист.0093).</t>
  </si>
  <si>
    <t xml:space="preserve">     Участок фильтрации угольной мелочи (Местный отсос) (Вентсистема В46a, В46b, V=2600 м3/час, h=25,4 м, d=0,2 м, ист.0094).</t>
  </si>
  <si>
    <t xml:space="preserve">     Участок электролиза (Местный отсос) (Вентсистема В47a, В47b, В47с, V=4140 м3/час, h=25,4 м, d=0,28 м, ист.0095).</t>
  </si>
  <si>
    <t xml:space="preserve">     Участок электролиза (Местный отсос) (Вентсистема В48a, В48b, V=1080 м3/час, h=25,4 м, d=0,16 м, ист.0096).</t>
  </si>
  <si>
    <t xml:space="preserve">     Участок получения сплава доре (Местный отсос) (Вентсистема В49a, В49b, V=11670 м3/час, h=25,4 м, d=0,45 м, ист.0097).</t>
  </si>
  <si>
    <t xml:space="preserve">     Участок обработки шлака и рукавного фильтра (Местный отсос) (Вентсистема В51a, В51b, V=360 м3/час, h=25,4 м, d=0,09 м, ист.0098).</t>
  </si>
  <si>
    <t xml:space="preserve">     Участок контрольной фильтрации (Местный отсос) (Вентсистема В52, V=2520 м3/час, h=25,4 м, d=0,2 м, ист.0099).</t>
  </si>
  <si>
    <t xml:space="preserve">     Участок контрольной фильтрации (Местный отсос) (Вентсистема В53a, В53b, V=720 м3/час, h=25,4 м, d=0,11 м, ист.0100).</t>
  </si>
  <si>
    <t xml:space="preserve">     Участок контрольной фильтрации (Местный отсос) (Вентсистема В54a, В54b, V=1440 м3/час, h=25,4 м, d=0,16 м, ист.0101).</t>
  </si>
  <si>
    <t xml:space="preserve">     Помещение приготовления реагентов (Местный отсос) (Вентсистема В55a, В55b, V=200 м3/час, h=25,4 м, d=0,09 м, ист.0102).</t>
  </si>
  <si>
    <t xml:space="preserve">     Помещение приготовления реагентов (Местный отсос) (Вентсистема В56a, В56b, V=200 м3/час, h=25,4 м, d=0,09 м, ист.0103).</t>
  </si>
  <si>
    <t xml:space="preserve">     Участок приготовления известкового/известнякового молока (Местный отсос) (Вентсистема В57a, В57b, V=7000 м3/час, h=25,4 м, d=0,28 м, ист.0104).</t>
  </si>
  <si>
    <t xml:space="preserve">     Участок приготовления известкового/известнякового молока (Местный отсос) (Вентсистема В58a, В58b, V=7000 м3/час, h=25,4 м, d=0,28 м, ист.0105).</t>
  </si>
  <si>
    <t xml:space="preserve">     Участок приготовления известкового/известнякового молока (Местный отсос) (Вентсистема В59a, В59b, V=1440 м3/час, h=25,4 м, d=0,16 м, ист.0106).</t>
  </si>
  <si>
    <t xml:space="preserve">     Участок приготовления реагентов (сульфаминовой кислоты и метабисульфата), Участок приготовления раствора цианида натрия (Местный отсос) (Вентсистема В61a, В61b, V=2520 м3/час, h=25,4 м, d=0,25 м, ист.0108).</t>
  </si>
  <si>
    <t xml:space="preserve">     Участок приготовления реагентов (сульфаминовой кислоты и метабисульфата) (Местный отсос) (Вентсистема В62a, В62b, V=720 м3/час, h=25,4 м, d=0,11 м, ист.0109).</t>
  </si>
  <si>
    <t xml:space="preserve">     Участок приготовления реагентов (сульфаминовой кислоты и метабисульфата) (Местный отсос) (Вентсистема В63a, В63b, V=720 м3/час, h=25,4 м, d=0,11 м, ист.0110).</t>
  </si>
  <si>
    <t xml:space="preserve">     Помещение экспресс-лаборатории (Местный отсос) (Вентсистема В64a, В64b, V=2300 м3/час, h=21 м, d=0,2 м, ист.0111).</t>
  </si>
  <si>
    <t xml:space="preserve">     Помещение экспресс-лаборатории (Местный отсос) (Вентсистема В65a, В65b, V=2450 м3/час, h=21 м, d=0,2 м, ист.0112).</t>
  </si>
  <si>
    <t xml:space="preserve">     Помещение экспресс-лаборатории (Местный отсос) (Вентсистема В66a, В66b, V=810 м3/час, h=21 м, d=0,11 м, ист.0113).</t>
  </si>
  <si>
    <t xml:space="preserve">     Помещение исследовательской лаборатории (Местный отсос) (Вентсистема В67a, В67b, V=2300 м3/час, h=21 м, d=0,2 м, ист.0114)</t>
  </si>
  <si>
    <t xml:space="preserve">     Помещение анализа и обработки бедных проб, Помещение дробления, Помещение анализа и обработки богатых проб (Местный отсос) (Вентсистема В69a, В69b, V=1570 м3/час, h=21 м, d=0,18 м, ист.0115).</t>
  </si>
  <si>
    <t xml:space="preserve">     Участок электролиза (Вентсистема ВЕ1, V=465 м3/час, h=25,4 м, d=0,1 м, ист.0116).</t>
  </si>
  <si>
    <t xml:space="preserve">     Участок фильтрации угольной мелочи (Местный отсос) (Вентсистема ВТ1, V=360 м3/час, h=25,4 м, d=0,1 м, ист.0117).</t>
  </si>
  <si>
    <t xml:space="preserve">     Участок приготовления известкового/известнякового молока (Местный отсос) (Вентсистема В71a, В71b, V=2000 м3/час, h=25,4 м, d=0,25 м, ист.0118).</t>
  </si>
  <si>
    <t xml:space="preserve">     Участок приготовления известкового/известнякового молока (Местный отсос) (Вентсистема В72a, В72b, V=2000 м3/час, h=25,4 м, d=0,25 м, ист.0119).</t>
  </si>
  <si>
    <t xml:space="preserve">     Насосная станция участка смешивания пульпы концентратов (насосная станция УСПК):</t>
  </si>
  <si>
    <t xml:space="preserve">     Помещение насосной, Помещение ПСУ (Вентсистема В1a, В1b, V=6700 м3/час, h=11,5 м, d=0,5 м, ист.0120).</t>
  </si>
  <si>
    <t xml:space="preserve">     Помещение насосной (Вентсистема В3, V=3650 м3/час, h=11,3 м, d=0,45 м, ист.0121).</t>
  </si>
  <si>
    <t xml:space="preserve">     Помещение насосной (Вентсистема В4, V=3650 м3/час, h=11,3 м, d=0,45 м, ист.0122).</t>
  </si>
  <si>
    <t xml:space="preserve">     Помещение насосной (Вентсистема В5, V=3650 м3/час, h=11,3 м, d=0,45 м, ист.0123).</t>
  </si>
  <si>
    <t xml:space="preserve">     Площадка емкостей УСПК, местный отсос от крышки емкости смеси пульпы концентратов №3 (V=1100 м3/час, h=15,6 м, d=0,219 м, ист.0127).</t>
  </si>
  <si>
    <t xml:space="preserve">     Площадка емкостей УСПК, местный отсос от крышки емкости смеси пульпы концентратов №4 (V=1100 м3/час, h=15,6 м, d=0,219 м, ист.0128).</t>
  </si>
  <si>
    <r>
      <t xml:space="preserve">     </t>
    </r>
    <r>
      <rPr>
        <b/>
        <i/>
        <sz val="14"/>
        <color theme="1"/>
        <rFont val="Times New Roman"/>
        <family val="1"/>
        <charset val="204"/>
      </rPr>
      <t>Насосная станция отделения сгущения окисленной пульпы (насосная станция ОСОП):</t>
    </r>
  </si>
  <si>
    <t xml:space="preserve">     Насосная станция сгущения окисленной пульпы (Вентсистема В1, V=4750 м3/час, h=3,5 м, d=0,79 м, ист.0129).</t>
  </si>
  <si>
    <t xml:space="preserve">     Насосная станция сгущения окисленной пульпы (Вентсистема В2, V=4750 м3/час, h=3,5 м, d=0,79 м, ист.0130).</t>
  </si>
  <si>
    <t xml:space="preserve">     Насосная станция сгущения окисленной пульпы (Вентсистема В3, V=9750 м3/час, h=3,5 м, d=0,65 м, ист.0131).</t>
  </si>
  <si>
    <t xml:space="preserve">     Насосная станция сгущения окисленной пульпы (Вентсистема В4, V=9750 м3/час, h=3,5 м, d=0,65 м, ист.0132).</t>
  </si>
  <si>
    <t xml:space="preserve">     Насосная станция отделения сгущения гипсовой пульпы (насосная станция ОСГП):</t>
  </si>
  <si>
    <t xml:space="preserve">     Насосная станция сгустителя гипсовой пульпы (Вентсистема В1, V=5750 м3/час, h=3,5 м, d=0,85 м, ист.0133).</t>
  </si>
  <si>
    <t xml:space="preserve">     Насосная станция сгустителя гипсовой пульпы (Вентсистема В2, V=5750 м3/час, h=3,5 м, d=0,85 м, ист.0134).</t>
  </si>
  <si>
    <t xml:space="preserve">     Насосная станция сгустителя гипсовой пульпы (Вентсистема В3, V=5750 м3/час, h=3,2 м, d=0,65 м, ист.0135).</t>
  </si>
  <si>
    <t xml:space="preserve">     Насосная станция сгустителя гипсовой пульпы (Вентсистема В4, V=5750 м3/час, h=3,2 м, d=0,65 м, ист.0136).</t>
  </si>
  <si>
    <t xml:space="preserve">      Насосная станция отделения предварительного осветления растворов (насосная станция ОПОР):</t>
  </si>
  <si>
    <t xml:space="preserve">      Насосная станция сгустителя-кларификатора (Вентсистема В1, V=5000 м3/час, h=3,7 м, d=0,79 м, ист.0137).</t>
  </si>
  <si>
    <t xml:space="preserve">     Насосная станция сгустителя-кларификатора (Вентсистема В2, V=5000 м3/час, h=3,7 м, d=0,79 м, ист.0138).</t>
  </si>
  <si>
    <t xml:space="preserve">     Насосная станция сгустителя-кларификатора (Вентсистема В3, V=11000 м3/час, h=3,7 м, d=0,65 м, ист.0139).</t>
  </si>
  <si>
    <t xml:space="preserve">     Насосная станция сгустителя-кларификатора (Вентсистема В4, V=11000 м3/час, h=3,7 м, d=0,65 м, ист.0140).</t>
  </si>
  <si>
    <t xml:space="preserve">     Участок хранения и подготовки извести и известняка (УХиПИиИ):</t>
  </si>
  <si>
    <t xml:space="preserve">     Площадка №1 склада известняка: разгрузка известняка из автосамосвала, укладка в штабель, хранение в штабеле, погрузка с площадки, работа техники (ист.6006).</t>
  </si>
  <si>
    <t xml:space="preserve">     Площадка №2 склада известняка: разгрузка известняка из автосамосвала, укладка в штабель, хранение в штабеле, погрузка с площадки, работа техники (ист.6007).</t>
  </si>
  <si>
    <t xml:space="preserve">     Расходный склад извести (Вентсистема В4а, В4b, V=4310 м3/час, h=17 м, d=0,35 м, ист.0141).</t>
  </si>
  <si>
    <t xml:space="preserve">     Расходный склад извести, Местный отсос (Вентсистема В5, V=38450 м3/час, h=9,6 м, d=0,67 м, ист.0142).</t>
  </si>
  <si>
    <t xml:space="preserve">     Расходный склад известняка, Местный отсос (Вентсистема В6, V=38450 м3/час, h=9,6 м, d=0,67 м, ист.0143).</t>
  </si>
  <si>
    <t xml:space="preserve">     Проектируемая Кислородная станция производства фирмы Linde AG Engineering Division (Пуллах, Германия) не является источником выбросов загрязняющих веществ. Основными веществами, обращающимися в технологическом процессе, являются атмосферный воздух, кислород и азот, выбросы которых не имеют установленных величин ПДК или ОБУВ и не нормируются. </t>
  </si>
  <si>
    <t>Таблица 1- Нормируемые выбросы ЗВ от источников загрязнения при эксплуатации комбината</t>
  </si>
  <si>
    <t>Таблица 2- Нормируемые выбросы ЗВ при эксплуатации комбината</t>
  </si>
  <si>
    <t xml:space="preserve">Директор Филиала </t>
  </si>
  <si>
    <t>АО «Полиметалл Инжиниринг»</t>
  </si>
  <si>
    <t>в Республике Казахстан</t>
  </si>
  <si>
    <t>С.А. Деннер</t>
  </si>
  <si>
    <t xml:space="preserve">Генеральный директор </t>
  </si>
  <si>
    <t xml:space="preserve"> ТОО «Ертис гидрометаллургический</t>
  </si>
  <si>
    <t xml:space="preserve"> комбинат»</t>
  </si>
  <si>
    <t>АКЦИОНЕРНОЕ ОБЩЕСТВО «ПОЛИМЕТАЛЛ ИНЖИНИРИНГ»</t>
  </si>
  <si>
    <t>ОСНОВНЫЕ ПРОЕКТНЫЕ РЕШЕНИЯ</t>
  </si>
  <si>
    <t>Раздел 14. Отчет о возможных воздействиях</t>
  </si>
  <si>
    <t>081231001-081-00-03-001-00-ОоВВ</t>
  </si>
  <si>
    <t>ТОО «Ертис гидрометаллургический комбинат»</t>
  </si>
  <si>
    <t>0145</t>
  </si>
  <si>
    <t>Парогенера</t>
  </si>
  <si>
    <t>торная</t>
  </si>
  <si>
    <t>время работы 24 часа</t>
  </si>
  <si>
    <t>Таблица 4-Выбросы в общем по предприятию (без авто + авто)</t>
  </si>
  <si>
    <r>
      <t>G</t>
    </r>
    <r>
      <rPr>
        <vertAlign val="subscript"/>
        <sz val="9"/>
        <color theme="1"/>
        <rFont val="Times New Roman"/>
        <family val="1"/>
        <charset val="204"/>
      </rPr>
      <t>1</t>
    </r>
  </si>
  <si>
    <t>автоклава*</t>
  </si>
  <si>
    <t>Примечание: *тепловая мощность парогенераторной автоклава принята 13 768 кВт.</t>
  </si>
  <si>
    <t xml:space="preserve">Хранение </t>
  </si>
  <si>
    <t>7124</t>
  </si>
  <si>
    <t>Таблица 9.2. – Выбросы пыли от площадки известняка №1,2</t>
  </si>
  <si>
    <t xml:space="preserve">     Аварийная ДЭС (ист.0144).</t>
  </si>
  <si>
    <t>Расчет выбросов загрязняющих веществ при работе аварийно дизельной электростанции.……................................................................................................</t>
  </si>
  <si>
    <t>Шкаф вытяжной 1500 ШВк, KS-12 (LAB-01-00410 LAB-02-00410 LAB-03-00410), Шкаф вытяжной 980 ШВнп KS-12 (LAB-04-00410 LAB-05-00410), Шкаф вытяжной для реактивов 
600 ШР-М (LAB-14-00410 LAB-15-00410)</t>
  </si>
  <si>
    <t xml:space="preserve">Шкаф вытяжной 1500 ШВк, KS-12 (LAB-01-00414 LAB-02-00414), Шкаф вытяжной для нагревательных печей 980 ШВнп, KS-12 (LAB-03-00414 LAB-04-00414), Шкаф вытяжной для реактивов 600 ШР-М (LAB-14-00414) </t>
  </si>
  <si>
    <t xml:space="preserve">Шкаф вытяжной 1500 ШВк, KS-12 (LAB-01-00410 LAB-02-00410 LAB-03-00410), Шкаф вытяжной 980 ШВнп KS-12 (LAB-04-00410 LAB-05-00410), Шкаф вытяжной для реактивов  600 ШР-М (LAB-14-00410 LAB-15-00410) </t>
  </si>
  <si>
    <t>Шкаф вытяжной для реактивов 600 ШР-М (LAB-01-00409 LAB-02-00409 LAB-03-00409 LAB-04-00409)</t>
  </si>
  <si>
    <t>Электропечь шахтная тигельная ЭПШТ-12 (LAB-01-00404  LAB-02-00404)</t>
  </si>
  <si>
    <t>Расчет выбросов загрязняющих веществ от котельной м парогенератора.......</t>
  </si>
  <si>
    <t xml:space="preserve">   Помещение сварки спецматериалов (Вентсистема В14, местный отсос, V=3000 м3/час, h=13,09 м, d=0,4 м, ист.0014):</t>
  </si>
  <si>
    <t xml:space="preserve">    Помещение ремонтного бокса (Вентсистема В16, местный отсос, V=800 м3/час, h=12,66 м, d=0,2 м, ист.0018):</t>
  </si>
  <si>
    <t xml:space="preserve">     ППомещение погрузчиков (Вентсистема В6, Канальный вентилятор Канал-ПКВ-50-30-4-400, V=210 м3/час, h=9,5 м, d=0,2 м, ист.0028):</t>
  </si>
  <si>
    <t xml:space="preserve">     	Помещение склада извести (Вентсистема В1а, В1b, В1с, V=16600 м3/час, h=12,9 м, d=0,5 м, ист.0029).</t>
  </si>
  <si>
    <t xml:space="preserve">    Электрощитовая, Дистилляторная, Препараторская, Пневмопочта, Связевая, Помещение весовой ПЛ, Помещение для разварки корольков и прокалки корточек и анализа готовой продукции, Помещение плавки и купелирования, Венткамера вытяжная, Помещение весовой АЛ и экологии, Химический зал, Помещение анализа и контроля атмосферного воздуха, промышленных выбросов и воздуха рабочей зоны, Экологическая лаборатория водных объектов, Склад ЗИП, расходных материалов и средств индивидуальной защиты, Архив, Склад, Помещение для шихтовки проб, Помещение для подготовки шихты, Помещение ФХМА (ААС анализ), Помещение ФХМА экологии, Помещение для розлива кислот и хранения прекурсоров, Узел ввода (Вентсистема В1а, В1b, V=12580 м3/час, h=12 м, d=0,5 м, ист.0030).</t>
  </si>
  <si>
    <t xml:space="preserve">    Помещение ФХМА экологии (Местный отсос) (Вентсистема В4, V=1400 м3/час, h=12 м, d=0,2 м, ист.0031).</t>
  </si>
  <si>
    <t xml:space="preserve">     	Помещение препараторской (Местный отсос) (Вентсистема В9а, В9b, V=800 м3/час, h=12 м, d=0,11 м, ист.0034).</t>
  </si>
  <si>
    <t xml:space="preserve">     	Помещение для разварки корольков и покалки корточек и анализа готовой продукции (Местный отсос) (Вентсистема В10а, В10b, V=1800 м3/час, h=12 м, d=0,2 м, ист.0035).</t>
  </si>
  <si>
    <t xml:space="preserve">     Помещение плавки и купелирования (Местный отсос) (Вентсистема В11а, В11b, V=3340 м3/час, h=12 м, d=0,25 м, ист.0036);.</t>
  </si>
  <si>
    <t xml:space="preserve">     	Помещение плавки и купелирования (Местный отсос) (Вентсистема В12а, В12b, V=2000 м3/час, h=12 м, d=0,2 м, ист.0037).</t>
  </si>
  <si>
    <t xml:space="preserve">     	Химический зал (Местный отсос) (Вентсистема В15а, В15b, V=6400 м3/час, h=12 м, d=0,355 м, ист.0039).</t>
  </si>
  <si>
    <t xml:space="preserve">     П	Помещение для розлива кислот и хранения прекурсоров (Местный отсос) (Вентсистема В16, V=1000 м3/час, h=12 м, d=0,16 м, ист.0040).</t>
  </si>
  <si>
    <t xml:space="preserve">     Участок автоклавного окисления (Вентсистема В1, V=22520 м3/час, h=25,2 м, d=0,87 м, ист.0041)</t>
  </si>
  <si>
    <t xml:space="preserve">      Участок автоклавного окисления, Венткамера (Вентсистема В3, V=22110 м3/час, h=29,5 м, d=1,07 м, ист.0043).</t>
  </si>
  <si>
    <t xml:space="preserve">     Участок подготовки воды и пара (Вентсистема В6, V=9000 м3/час, h=18,3 м, d=0,56 м, ист.0045).</t>
  </si>
  <si>
    <t xml:space="preserve">   Участок автоклавного окисления (Вентсистема В21, V=17000 м3/час, h=28,7 м, d=0,63 м, ист.0049).</t>
  </si>
  <si>
    <t xml:space="preserve">     Участок приготовления известкового/известнякового молока (Местный отсос) (Вентсистема В60a, В60b, V=3240 м3/час, h=25,4 м, d=0,25 м, ист.0107);</t>
  </si>
  <si>
    <t xml:space="preserve">    Помещение насосной (Вентсистема В6, V=3650 м3/час, h=11,3 м, d=0,45 м, ист.0124).</t>
  </si>
  <si>
    <t xml:space="preserve">    Площадка емкостей УСПК, местный отсос от крышки емкости накопительной пульпы концентрата №1 (V=108 м3/час, h=14,6 м, d=0,219 м, ист.0125).</t>
  </si>
  <si>
    <t xml:space="preserve">     Площадка емкостей УСПК, местный отсос от крышки емкости накопительной пульпы концентрата №2 (V=108 м3/час, h=14,6 м, d=0,219 м, ист.0126)</t>
  </si>
  <si>
    <t xml:space="preserve">     Склад техногенного грунта (ист.7124).</t>
  </si>
  <si>
    <t xml:space="preserve"> </t>
  </si>
  <si>
    <t>расход топлива</t>
  </si>
  <si>
    <t>475 кг/час</t>
  </si>
  <si>
    <t>139 кг/час</t>
  </si>
  <si>
    <t>Циклон ЦВП-4, 90%</t>
  </si>
  <si>
    <t>Циклон ЦВП-6, 90%</t>
  </si>
  <si>
    <t xml:space="preserve">     Участок сорбционного выщелачивания (Местный отсос) (Вентсистема В37a, В37b, V=2300 м3/час, h=28,9 м, d=0,315 м, ист.0087).</t>
  </si>
  <si>
    <t>Список литературы</t>
  </si>
  <si>
    <t>1. РНД 211.2.02.04-2004. Методика расчета выбросов загрязняющих веществ в атмосферу от стационарных дизельных установок.</t>
  </si>
  <si>
    <t xml:space="preserve">Количество выбрасываемых загрязняющих веществ определяется по формулам [1]: </t>
  </si>
  <si>
    <t>Мсек =   Kвр х ei х Рэ /3600, г/с</t>
  </si>
  <si>
    <t>Мгод =   Kвр х qi х Bгод/1000, т/год</t>
  </si>
  <si>
    <t xml:space="preserve">      Pэ – эксплуатационная мощность стационарной дизельной установки,  кВт;</t>
  </si>
  <si>
    <t xml:space="preserve">      Вгод – расход топлива стационарной дизельной установкой за год, т.</t>
  </si>
  <si>
    <t>Наименование источника загрязнения</t>
  </si>
  <si>
    <t>Применяемое топлива</t>
  </si>
  <si>
    <t>Группа установки</t>
  </si>
  <si>
    <t>Количество техники</t>
  </si>
  <si>
    <t>Эксплуата-ционная мощьность Рэ, кВт</t>
  </si>
  <si>
    <t>Расход  топлива, т/год</t>
  </si>
  <si>
    <t>Удельное выделение</t>
  </si>
  <si>
    <t>Выбросы</t>
  </si>
  <si>
    <t>всего</t>
  </si>
  <si>
    <t xml:space="preserve">в одновре-менной работе  Kвр </t>
  </si>
  <si>
    <t>ei , гкВт/ч.</t>
  </si>
  <si>
    <t>qi , г/кг</t>
  </si>
  <si>
    <t>Углерод черный</t>
  </si>
  <si>
    <t>Бенз(а)пирен</t>
  </si>
  <si>
    <t>0703</t>
  </si>
  <si>
    <t>1.10 Расчет выбросов загрязняющих веществ от дизельных установок</t>
  </si>
  <si>
    <t>Таблица 1.10 - Выбросы загрязняющих вещест от дизельных электростанций</t>
  </si>
  <si>
    <t>ДЭС *</t>
  </si>
  <si>
    <t>Примечание: *- работает, в случае отсутствия сетевой электроэнергии на срок не более 24 часов.</t>
  </si>
  <si>
    <t>Рукавный фильтр, 99,9%</t>
  </si>
  <si>
    <t>99,8</t>
  </si>
  <si>
    <t>99,9</t>
  </si>
  <si>
    <t>Фильтр самоочищающийся модульный
MDV-4L-F9-D20, 95%</t>
  </si>
  <si>
    <t>Скруббер (в объеме Коралайна Инжини-ринг), 80%</t>
  </si>
  <si>
    <t>Рукавный фильтр типа КФЕ, 99,9%</t>
  </si>
  <si>
    <t>Передвижной самоочищающийся фильтр ПМСФ-6-2х160-К-TC12, 95%</t>
  </si>
  <si>
    <t xml:space="preserve">     Данные для расчета и результаты расчета выбросов вредных веществ  представлены в таблице 2.1.</t>
  </si>
  <si>
    <t>Данные для расчета и результаты расчета выбросов вредных веществ  представлены в таблице 3.1.</t>
  </si>
  <si>
    <t>Данные для расчета и результаты расчета выбросов вредных веществ  представлены в таблице 4.1.</t>
  </si>
  <si>
    <t xml:space="preserve">Таблица 4.1 - Выбросы загрязняющих веществ при проведении электрогазосварочных работ </t>
  </si>
  <si>
    <t>Данные для расчета и результаты расчета выбросов вредных веществ  представлены в таблице 5.1.</t>
  </si>
  <si>
    <t>Данные для расчета и результаты расчета выбросов вредных веществ  представлены в таблице 8.1.</t>
  </si>
  <si>
    <t>Данные для расчета и результаты расчета выбросов вредных веществ  представлены в таблице 7.1.</t>
  </si>
  <si>
    <t>Данные для расчета и результаты расчета выбросов вредных веществ  представлены в таблице 6.1.</t>
  </si>
  <si>
    <t>9.1</t>
  </si>
  <si>
    <t xml:space="preserve"> Выбросы пыли отсклада известняка…..................................................................</t>
  </si>
  <si>
    <t>Выбросы пыли от площадки известняка №1,2…..................................................</t>
  </si>
  <si>
    <t>9.2</t>
  </si>
  <si>
    <t xml:space="preserve">  ei – выброс i-го вредного вещества на единицу полезной работы стационарной дизельной    установки на режиме номинальной мощности, г/Квт ч;</t>
  </si>
  <si>
    <t xml:space="preserve">      qi – выброс i-го вредного вещества, г/кг топлива;</t>
  </si>
  <si>
    <r>
      <t xml:space="preserve">      K</t>
    </r>
    <r>
      <rPr>
        <vertAlign val="subscript"/>
        <sz val="12"/>
        <color theme="1"/>
        <rFont val="Times New Roman"/>
        <family val="1"/>
        <charset val="204"/>
      </rPr>
      <t>вр</t>
    </r>
    <r>
      <rPr>
        <sz val="12"/>
        <color theme="1"/>
        <rFont val="Times New Roman"/>
        <family val="1"/>
        <charset val="204"/>
      </rPr>
      <t xml:space="preserve"> - количество станков в одновременной работе</t>
    </r>
  </si>
  <si>
    <t>Исходные данные и результаты расчета выбросов загрязняющих веществ  приведены в таблице 1.10</t>
  </si>
  <si>
    <t xml:space="preserve"> ML   - удельный выброс при движении по территории предприятия с условно постоянной скоростью, г/мин;</t>
  </si>
  <si>
    <t>Tv1 -  суммарное время движения машины без нагрузки в день, мин.;</t>
  </si>
  <si>
    <t>Tv1n - суммарное время движения машины под нагрузкой в день, мин.;</t>
  </si>
  <si>
    <t>Mxx - удельный выброс вещества при работе двигателя на холостом ходу, г/мин.;</t>
  </si>
  <si>
    <t>Txs -  суммарное время работы двигателя на холостом ходу в день, мин.</t>
  </si>
  <si>
    <t>Tv2 - максимальное время движения машины без нагрузки в течение 30 мин.;</t>
  </si>
  <si>
    <t>Tv2n, Txm - максимальное время  работы под нагрузкой и на холостом ходу  в течение 30 мин.</t>
  </si>
  <si>
    <t xml:space="preserve">     Валовый выброс вещества автотракторной техники (дорожными машинами) данной группы рассчитывается раздельно для каждого периода по формуле:</t>
  </si>
  <si>
    <t>A  - коэффициент выпуска (выезда);</t>
  </si>
  <si>
    <t>Nk - общее количество автомобилей данной группы;</t>
  </si>
  <si>
    <t>Dn - количество рабочих дней в расчетном периоде (теплый, переходный, холодный).</t>
  </si>
  <si>
    <t xml:space="preserve">   Для определения общего валового выброса M1год валовые выбросы одноименных веществ по периодам года суммируются:</t>
  </si>
  <si>
    <t xml:space="preserve">     Максимальный разовый выброс от автотракторной техники (дорожных машин) данной группы рассчитывается по формуле:</t>
  </si>
  <si>
    <t>Nk1 - наибольшее количество машин данной группы, двигающихся (работающих) в течение получаса.</t>
  </si>
  <si>
    <t>Из полученных значений М1сек для разных групп автомобилей и расчетных периодов выбирается максимальное.</t>
  </si>
  <si>
    <t>19. Расчет выбросов ЗВ при  работе и движении техники по территории</t>
  </si>
  <si>
    <t xml:space="preserve">   Данные для расчета и результаты расчета выбросов вредных веществ  представлены в таблице  19.1.</t>
  </si>
  <si>
    <t xml:space="preserve">   Данные для расчета и результаты расчета выбросов вредных веществ  представлены в таблице  20.1.</t>
  </si>
  <si>
    <t xml:space="preserve">     Результаты расчета выбросов зашрязняющих веществ и результаты расчета сведены в таблицу 21.1</t>
  </si>
  <si>
    <t>Книга 2 Часть 1</t>
  </si>
  <si>
    <t>2 поста</t>
  </si>
  <si>
    <t>Итого по ист.7052:</t>
  </si>
  <si>
    <t>В.В.Дудин</t>
  </si>
  <si>
    <t>Скруббер, 2 ступени очистки, 81-99,1%</t>
  </si>
  <si>
    <t>Бункер загрузочный (BNK-01-21118), Емкость приготовления раствора сульфаминовой кислоты (TKA-01-21118), Дренажный приямок участка приготовления раствора сульфаминовой кислоты, Бункер загрузочный (BNK-01-21119), Емкость приготовления раствора пиросульфита натрия (TKA-01-21119), Дренажный приямок участка приготовления раствора пиросульфита натрия, Бункер загрузочный (BNK-01-21120), Емкость приготовления раствора гидроксида натрия (TKА-01-21120), Емкость хранения раствора гидроксида натрия (TKA-02-21120), Дренажный приямок участка приготовления раствора гидроксида натрия, Бункер загрузочный (BNK-01-21121), Емкость приготовления раствора сульфата железа (TKA-01-21121), Расходная емкость раствора сульфата железа (TKA-02-21121), Дренажный приямок участка приготовления раствора сульфата железа, Бункер загрузочный (BNK-01-21122), Емкость приготовления раствора  цианида натрия (TKA-01-21122), Емкость приготовления раствора  цианида натрия (TKA-02-21122), Дренажный приямок участка приготовления раствора цианида натрия</t>
  </si>
  <si>
    <t>Участок подачи извести и известняка (УПИИ)</t>
  </si>
  <si>
    <t>Таблица 17.1 – Результаты расчетов выбросов загрязняющих веществ от участка подачи извести и известняка (УПИИ)</t>
  </si>
  <si>
    <t>17. Расчет выбросов загрязняющих веществ от участка подачи извести и известняка (УПИИ)</t>
  </si>
  <si>
    <t>Участок подачи извести и известняка (УПИИ), Площадка №1 склада известняка</t>
  </si>
  <si>
    <t>Участок подачи извести и известняка (УПИИ), Площадка №2 склада известняка</t>
  </si>
  <si>
    <t>Начальник отдела ППиН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</si>
</sst>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0.0000"/>
    <numFmt numFmtId="166" formatCode="0.000000"/>
    <numFmt numFmtId="167" formatCode="0.0000000000"/>
    <numFmt numFmtId="168" formatCode="0.000000000000"/>
  </numFmts>
  <fonts count="105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9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vertAlign val="subscript"/>
      <sz val="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vertAlign val="subscript"/>
      <sz val="14"/>
      <color theme="1"/>
      <name val="Times New Roman"/>
      <family val="1"/>
      <charset val="204"/>
    </font>
    <font>
      <b/>
      <vertAlign val="superscript"/>
      <sz val="14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vertAlign val="superscript"/>
      <sz val="11"/>
      <color theme="1"/>
      <name val="Times New Roman"/>
      <family val="1"/>
      <charset val="204"/>
    </font>
    <font>
      <vertAlign val="subscript"/>
      <sz val="11"/>
      <color theme="1"/>
      <name val="Times New Roman"/>
      <family val="1"/>
      <charset val="204"/>
    </font>
    <font>
      <vertAlign val="subscript"/>
      <sz val="12"/>
      <color theme="1"/>
      <name val="Times New Roman"/>
      <family val="1"/>
      <charset val="204"/>
    </font>
    <font>
      <vertAlign val="subscript"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vertAlign val="subscript"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vertAlign val="superscript"/>
      <sz val="14"/>
      <name val="Times New Roman"/>
      <family val="1"/>
      <charset val="204"/>
    </font>
    <font>
      <sz val="14"/>
      <color rgb="FFFF0000"/>
      <name val="Calibri"/>
      <family val="2"/>
      <charset val="204"/>
      <scheme val="minor"/>
    </font>
    <font>
      <b/>
      <vertAlign val="superscript"/>
      <sz val="12"/>
      <color theme="1"/>
      <name val="Times New Roman"/>
      <family val="1"/>
      <charset val="204"/>
    </font>
    <font>
      <sz val="10"/>
      <color rgb="FFEE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vertAlign val="subscript"/>
      <sz val="14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9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name val="Calibri"/>
      <family val="2"/>
      <charset val="204"/>
      <scheme val="minor"/>
    </font>
    <font>
      <u/>
      <sz val="9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4"/>
      <color rgb="FFEE0000"/>
      <name val="Times New Roman"/>
      <family val="1"/>
      <charset val="204"/>
    </font>
    <font>
      <b/>
      <sz val="14"/>
      <color rgb="FFEE0000"/>
      <name val="Times New Roman"/>
      <family val="1"/>
      <charset val="204"/>
    </font>
    <font>
      <b/>
      <sz val="10"/>
      <color rgb="FFEE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i/>
      <sz val="11"/>
      <color theme="1"/>
      <name val="Times New Roman"/>
      <family val="1"/>
      <charset val="204"/>
    </font>
    <font>
      <sz val="13"/>
      <name val="Times New Roman"/>
      <family val="1"/>
      <charset val="204"/>
    </font>
    <font>
      <i/>
      <sz val="15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</font>
    <font>
      <b/>
      <sz val="10"/>
      <name val="Times New Roman"/>
      <family val="1"/>
    </font>
    <font>
      <vertAlign val="subscript"/>
      <sz val="9"/>
      <color theme="1"/>
      <name val="Times New Roman"/>
      <family val="1"/>
      <charset val="204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0"/>
      <color theme="1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94" fillId="0" borderId="0"/>
    <xf numFmtId="0" fontId="95" fillId="0" borderId="3">
      <alignment horizontal="left" vertical="top" wrapText="1" indent="2"/>
    </xf>
    <xf numFmtId="2" fontId="94" fillId="8" borderId="0">
      <alignment vertical="justify"/>
    </xf>
    <xf numFmtId="0" fontId="95" fillId="0" borderId="3" applyNumberFormat="0">
      <alignment horizontal="center" vertical="center" wrapText="1"/>
    </xf>
    <xf numFmtId="0" fontId="95" fillId="0" borderId="3" applyNumberFormat="0">
      <alignment horizontal="left" vertical="top" wrapText="1"/>
    </xf>
    <xf numFmtId="0" fontId="95" fillId="0" borderId="3">
      <alignment horizontal="left" vertical="top" wrapText="1"/>
    </xf>
    <xf numFmtId="0" fontId="95" fillId="0" borderId="3">
      <alignment horizontal="left" vertical="top" wrapText="1"/>
    </xf>
  </cellStyleXfs>
  <cellXfs count="1610">
    <xf numFmtId="0" fontId="0" fillId="0" borderId="0" xfId="0"/>
    <xf numFmtId="49" fontId="3" fillId="0" borderId="1" xfId="0" applyNumberFormat="1" applyFont="1" applyBorder="1" applyAlignment="1">
      <alignment horizontal="center" vertical="center" wrapText="1"/>
    </xf>
    <xf numFmtId="49" fontId="6" fillId="0" borderId="6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1" xfId="0" applyFont="1" applyBorder="1" applyAlignment="1">
      <alignment wrapText="1"/>
    </xf>
    <xf numFmtId="0" fontId="6" fillId="0" borderId="1" xfId="0" applyFont="1" applyBorder="1"/>
    <xf numFmtId="0" fontId="6" fillId="0" borderId="9" xfId="0" applyFont="1" applyBorder="1" applyAlignment="1">
      <alignment horizontal="center"/>
    </xf>
    <xf numFmtId="0" fontId="6" fillId="0" borderId="10" xfId="0" applyFont="1" applyBorder="1"/>
    <xf numFmtId="0" fontId="6" fillId="0" borderId="9" xfId="0" applyFont="1" applyBorder="1" applyAlignment="1">
      <alignment wrapText="1"/>
    </xf>
    <xf numFmtId="49" fontId="6" fillId="0" borderId="9" xfId="0" applyNumberFormat="1" applyFont="1" applyBorder="1" applyAlignment="1">
      <alignment horizontal="center"/>
    </xf>
    <xf numFmtId="0" fontId="6" fillId="0" borderId="9" xfId="0" applyFont="1" applyBorder="1"/>
    <xf numFmtId="0" fontId="7" fillId="0" borderId="5" xfId="0" applyFont="1" applyBorder="1"/>
    <xf numFmtId="0" fontId="6" fillId="0" borderId="12" xfId="0" applyFont="1" applyBorder="1"/>
    <xf numFmtId="0" fontId="6" fillId="0" borderId="5" xfId="0" applyFont="1" applyBorder="1"/>
    <xf numFmtId="0" fontId="6" fillId="0" borderId="5" xfId="0" applyFont="1" applyBorder="1" applyAlignment="1">
      <alignment wrapText="1"/>
    </xf>
    <xf numFmtId="0" fontId="6" fillId="0" borderId="5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0" fillId="4" borderId="0" xfId="0" applyFill="1"/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/>
    </xf>
    <xf numFmtId="49" fontId="6" fillId="0" borderId="6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8" xfId="0" applyFont="1" applyBorder="1"/>
    <xf numFmtId="0" fontId="3" fillId="0" borderId="12" xfId="0" applyFont="1" applyBorder="1"/>
    <xf numFmtId="0" fontId="3" fillId="0" borderId="5" xfId="0" applyFont="1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0" fillId="0" borderId="5" xfId="0" applyBorder="1"/>
    <xf numFmtId="0" fontId="14" fillId="0" borderId="1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/>
    </xf>
    <xf numFmtId="0" fontId="11" fillId="0" borderId="0" xfId="0" applyFont="1" applyAlignment="1">
      <alignment vertical="top"/>
    </xf>
    <xf numFmtId="0" fontId="6" fillId="5" borderId="3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/>
    </xf>
    <xf numFmtId="49" fontId="6" fillId="5" borderId="1" xfId="0" applyNumberFormat="1" applyFont="1" applyFill="1" applyBorder="1" applyAlignment="1" applyProtection="1">
      <alignment horizontal="center"/>
      <protection hidden="1"/>
    </xf>
    <xf numFmtId="0" fontId="6" fillId="5" borderId="1" xfId="0" applyFont="1" applyFill="1" applyBorder="1" applyAlignment="1" applyProtection="1">
      <alignment horizontal="center"/>
      <protection hidden="1"/>
    </xf>
    <xf numFmtId="49" fontId="6" fillId="0" borderId="3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/>
    </xf>
    <xf numFmtId="49" fontId="3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0" borderId="0" xfId="0" applyFont="1"/>
    <xf numFmtId="0" fontId="0" fillId="0" borderId="0" xfId="0" applyAlignment="1">
      <alignment vertical="top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/>
    </xf>
    <xf numFmtId="0" fontId="18" fillId="0" borderId="1" xfId="0" applyFont="1" applyBorder="1" applyAlignment="1">
      <alignment horizontal="center" vertical="top"/>
    </xf>
    <xf numFmtId="0" fontId="18" fillId="0" borderId="6" xfId="0" applyFont="1" applyBorder="1" applyAlignment="1">
      <alignment horizontal="center" vertical="top"/>
    </xf>
    <xf numFmtId="0" fontId="18" fillId="0" borderId="9" xfId="0" applyFont="1" applyBorder="1" applyAlignment="1">
      <alignment horizontal="center" vertical="top"/>
    </xf>
    <xf numFmtId="0" fontId="18" fillId="0" borderId="8" xfId="0" applyFont="1" applyBorder="1" applyAlignment="1">
      <alignment horizontal="center" vertical="top"/>
    </xf>
    <xf numFmtId="0" fontId="18" fillId="0" borderId="5" xfId="0" applyFont="1" applyBorder="1" applyAlignment="1">
      <alignment horizontal="center" vertical="top"/>
    </xf>
    <xf numFmtId="0" fontId="18" fillId="0" borderId="11" xfId="0" applyFont="1" applyBorder="1" applyAlignment="1">
      <alignment horizontal="center" vertical="top"/>
    </xf>
    <xf numFmtId="0" fontId="18" fillId="0" borderId="7" xfId="0" applyFont="1" applyBorder="1" applyAlignment="1">
      <alignment horizontal="center" vertical="top"/>
    </xf>
    <xf numFmtId="0" fontId="18" fillId="0" borderId="1" xfId="0" applyFont="1" applyBorder="1" applyAlignment="1">
      <alignment horizontal="center" vertical="top" wrapText="1"/>
    </xf>
    <xf numFmtId="0" fontId="18" fillId="0" borderId="3" xfId="0" applyFont="1" applyBorder="1" applyAlignment="1" applyProtection="1">
      <alignment vertical="top"/>
      <protection hidden="1"/>
    </xf>
    <xf numFmtId="49" fontId="18" fillId="0" borderId="3" xfId="0" applyNumberFormat="1" applyFont="1" applyBorder="1" applyAlignment="1" applyProtection="1">
      <alignment horizontal="center" vertical="top"/>
      <protection hidden="1"/>
    </xf>
    <xf numFmtId="0" fontId="18" fillId="0" borderId="3" xfId="0" applyFont="1" applyBorder="1" applyAlignment="1">
      <alignment horizontal="center" vertical="top"/>
    </xf>
    <xf numFmtId="0" fontId="18" fillId="0" borderId="10" xfId="0" applyFont="1" applyBorder="1" applyAlignment="1">
      <alignment horizontal="center" vertical="top"/>
    </xf>
    <xf numFmtId="0" fontId="20" fillId="0" borderId="0" xfId="0" applyFont="1" applyAlignment="1">
      <alignment vertical="top"/>
    </xf>
    <xf numFmtId="0" fontId="18" fillId="0" borderId="3" xfId="0" applyFont="1" applyBorder="1" applyAlignment="1">
      <alignment horizontal="center" vertical="top" wrapText="1"/>
    </xf>
    <xf numFmtId="0" fontId="18" fillId="0" borderId="4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49" fontId="3" fillId="0" borderId="3" xfId="0" applyNumberFormat="1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/>
    </xf>
    <xf numFmtId="0" fontId="11" fillId="0" borderId="0" xfId="0" applyFont="1"/>
    <xf numFmtId="9" fontId="0" fillId="0" borderId="0" xfId="0" applyNumberFormat="1"/>
    <xf numFmtId="0" fontId="3" fillId="0" borderId="1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top" wrapText="1"/>
    </xf>
    <xf numFmtId="0" fontId="25" fillId="0" borderId="5" xfId="0" applyFont="1" applyBorder="1" applyAlignment="1">
      <alignment horizontal="center" vertical="top"/>
    </xf>
    <xf numFmtId="0" fontId="26" fillId="0" borderId="7" xfId="0" applyFont="1" applyBorder="1" applyAlignment="1">
      <alignment horizontal="center" vertical="top"/>
    </xf>
    <xf numFmtId="0" fontId="26" fillId="0" borderId="9" xfId="0" applyFont="1" applyBorder="1" applyAlignment="1">
      <alignment horizontal="center" vertical="top"/>
    </xf>
    <xf numFmtId="0" fontId="26" fillId="0" borderId="10" xfId="0" applyFont="1" applyBorder="1" applyAlignment="1">
      <alignment horizontal="center" vertical="top"/>
    </xf>
    <xf numFmtId="0" fontId="26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top"/>
    </xf>
    <xf numFmtId="0" fontId="26" fillId="0" borderId="6" xfId="0" applyFont="1" applyBorder="1" applyAlignment="1">
      <alignment horizontal="center" vertical="top"/>
    </xf>
    <xf numFmtId="0" fontId="26" fillId="0" borderId="8" xfId="0" applyFont="1" applyBorder="1" applyAlignment="1">
      <alignment horizontal="center" vertical="top"/>
    </xf>
    <xf numFmtId="0" fontId="27" fillId="0" borderId="0" xfId="0" applyFont="1" applyAlignment="1">
      <alignment vertical="top"/>
    </xf>
    <xf numFmtId="0" fontId="26" fillId="0" borderId="5" xfId="0" applyFont="1" applyBorder="1" applyAlignment="1">
      <alignment horizontal="center" vertical="top"/>
    </xf>
    <xf numFmtId="0" fontId="26" fillId="0" borderId="11" xfId="0" applyFont="1" applyBorder="1" applyAlignment="1">
      <alignment horizontal="center" vertical="top"/>
    </xf>
    <xf numFmtId="0" fontId="26" fillId="0" borderId="3" xfId="0" applyFont="1" applyBorder="1" applyAlignment="1" applyProtection="1">
      <alignment vertical="top"/>
      <protection hidden="1"/>
    </xf>
    <xf numFmtId="49" fontId="26" fillId="0" borderId="3" xfId="0" applyNumberFormat="1" applyFont="1" applyBorder="1" applyAlignment="1" applyProtection="1">
      <alignment horizontal="center" vertical="top"/>
      <protection hidden="1"/>
    </xf>
    <xf numFmtId="0" fontId="26" fillId="0" borderId="3" xfId="0" applyFont="1" applyBorder="1" applyAlignment="1">
      <alignment horizontal="center" vertical="top"/>
    </xf>
    <xf numFmtId="0" fontId="26" fillId="0" borderId="3" xfId="0" applyFont="1" applyBorder="1" applyAlignment="1">
      <alignment horizontal="center" vertical="top" wrapText="1"/>
    </xf>
    <xf numFmtId="0" fontId="26" fillId="0" borderId="4" xfId="0" applyFont="1" applyBorder="1" applyAlignment="1">
      <alignment horizontal="center" vertical="top" wrapText="1"/>
    </xf>
    <xf numFmtId="0" fontId="26" fillId="0" borderId="7" xfId="0" applyFont="1" applyBorder="1" applyAlignment="1">
      <alignment vertical="top"/>
    </xf>
    <xf numFmtId="0" fontId="26" fillId="0" borderId="1" xfId="0" applyFont="1" applyBorder="1" applyAlignment="1">
      <alignment vertical="top"/>
    </xf>
    <xf numFmtId="0" fontId="26" fillId="0" borderId="12" xfId="0" applyFont="1" applyBorder="1" applyAlignment="1">
      <alignment vertical="top"/>
    </xf>
    <xf numFmtId="0" fontId="26" fillId="0" borderId="5" xfId="0" applyFont="1" applyBorder="1" applyAlignment="1">
      <alignment vertical="top"/>
    </xf>
    <xf numFmtId="0" fontId="29" fillId="0" borderId="1" xfId="0" applyFont="1" applyBorder="1" applyAlignment="1">
      <alignment horizontal="center" vertical="center" textRotation="90" wrapText="1"/>
    </xf>
    <xf numFmtId="0" fontId="29" fillId="0" borderId="1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17" fillId="5" borderId="5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0" fontId="3" fillId="0" borderId="2" xfId="0" applyFont="1" applyBorder="1" applyAlignment="1" applyProtection="1">
      <alignment vertical="center"/>
      <protection hidden="1"/>
    </xf>
    <xf numFmtId="49" fontId="3" fillId="0" borderId="3" xfId="0" applyNumberFormat="1" applyFont="1" applyBorder="1" applyAlignment="1" applyProtection="1">
      <alignment horizontal="center" vertical="center"/>
      <protection hidden="1"/>
    </xf>
    <xf numFmtId="0" fontId="3" fillId="0" borderId="3" xfId="0" applyFont="1" applyBorder="1" applyAlignment="1" applyProtection="1">
      <alignment vertical="center"/>
      <protection hidden="1"/>
    </xf>
    <xf numFmtId="0" fontId="1" fillId="0" borderId="0" xfId="0" applyFont="1"/>
    <xf numFmtId="0" fontId="26" fillId="0" borderId="12" xfId="0" applyFont="1" applyBorder="1" applyAlignment="1">
      <alignment horizontal="center" vertical="top"/>
    </xf>
    <xf numFmtId="0" fontId="18" fillId="0" borderId="12" xfId="0" applyFont="1" applyBorder="1" applyAlignment="1">
      <alignment horizontal="center" vertical="top"/>
    </xf>
    <xf numFmtId="0" fontId="19" fillId="0" borderId="3" xfId="0" applyFont="1" applyBorder="1" applyAlignment="1" applyProtection="1">
      <alignment vertical="top"/>
      <protection hidden="1"/>
    </xf>
    <xf numFmtId="49" fontId="19" fillId="0" borderId="3" xfId="0" applyNumberFormat="1" applyFont="1" applyBorder="1" applyAlignment="1" applyProtection="1">
      <alignment horizontal="center" vertical="top"/>
      <protection hidden="1"/>
    </xf>
    <xf numFmtId="0" fontId="14" fillId="0" borderId="2" xfId="0" applyFont="1" applyBorder="1" applyAlignment="1" applyProtection="1">
      <alignment vertical="center"/>
      <protection hidden="1"/>
    </xf>
    <xf numFmtId="49" fontId="14" fillId="0" borderId="3" xfId="0" applyNumberFormat="1" applyFont="1" applyBorder="1" applyAlignment="1" applyProtection="1">
      <alignment horizontal="center" vertical="center"/>
      <protection hidden="1"/>
    </xf>
    <xf numFmtId="0" fontId="14" fillId="0" borderId="3" xfId="0" applyFont="1" applyBorder="1" applyAlignment="1">
      <alignment horizontal="center" vertical="center"/>
    </xf>
    <xf numFmtId="0" fontId="18" fillId="0" borderId="0" xfId="0" applyFont="1" applyAlignment="1">
      <alignment vertical="top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/>
    </xf>
    <xf numFmtId="0" fontId="30" fillId="0" borderId="3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5" xfId="0" applyFont="1" applyBorder="1" applyAlignment="1">
      <alignment vertical="center" wrapText="1"/>
    </xf>
    <xf numFmtId="0" fontId="30" fillId="0" borderId="5" xfId="0" applyFont="1" applyBorder="1"/>
    <xf numFmtId="0" fontId="30" fillId="5" borderId="5" xfId="0" applyFont="1" applyFill="1" applyBorder="1"/>
    <xf numFmtId="0" fontId="30" fillId="5" borderId="5" xfId="0" applyFont="1" applyFill="1" applyBorder="1" applyAlignment="1">
      <alignment horizontal="center" vertical="center"/>
    </xf>
    <xf numFmtId="0" fontId="4" fillId="0" borderId="5" xfId="0" applyFont="1" applyBorder="1"/>
    <xf numFmtId="0" fontId="30" fillId="0" borderId="3" xfId="0" applyFont="1" applyBorder="1" applyAlignment="1">
      <alignment horizontal="center" vertical="center"/>
    </xf>
    <xf numFmtId="0" fontId="30" fillId="6" borderId="3" xfId="0" applyFont="1" applyFill="1" applyBorder="1" applyAlignment="1">
      <alignment horizontal="center" vertical="center" wrapText="1"/>
    </xf>
    <xf numFmtId="0" fontId="30" fillId="5" borderId="3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center" vertical="top"/>
    </xf>
    <xf numFmtId="0" fontId="14" fillId="0" borderId="3" xfId="0" applyFont="1" applyBorder="1" applyAlignment="1">
      <alignment horizontal="center" vertical="top"/>
    </xf>
    <xf numFmtId="0" fontId="3" fillId="0" borderId="3" xfId="0" applyFont="1" applyBorder="1" applyAlignment="1">
      <alignment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165" fontId="6" fillId="0" borderId="3" xfId="0" applyNumberFormat="1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165" fontId="0" fillId="0" borderId="0" xfId="0" applyNumberFormat="1"/>
    <xf numFmtId="49" fontId="6" fillId="0" borderId="3" xfId="0" applyNumberFormat="1" applyFont="1" applyBorder="1" applyAlignment="1">
      <alignment horizontal="center" vertical="center"/>
    </xf>
    <xf numFmtId="0" fontId="26" fillId="0" borderId="0" xfId="0" applyFont="1" applyAlignment="1">
      <alignment vertical="top"/>
    </xf>
    <xf numFmtId="0" fontId="26" fillId="0" borderId="2" xfId="0" applyFont="1" applyBorder="1" applyAlignment="1">
      <alignment vertical="top"/>
    </xf>
    <xf numFmtId="0" fontId="26" fillId="0" borderId="3" xfId="0" applyFont="1" applyBorder="1" applyAlignment="1">
      <alignment vertical="top"/>
    </xf>
    <xf numFmtId="0" fontId="30" fillId="5" borderId="5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49" fontId="6" fillId="0" borderId="3" xfId="0" applyNumberFormat="1" applyFont="1" applyBorder="1" applyAlignment="1" applyProtection="1">
      <alignment horizontal="center"/>
      <protection hidden="1"/>
    </xf>
    <xf numFmtId="0" fontId="30" fillId="0" borderId="5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 wrapText="1"/>
    </xf>
    <xf numFmtId="0" fontId="32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left" vertical="center" wrapText="1"/>
    </xf>
    <xf numFmtId="0" fontId="35" fillId="0" borderId="0" xfId="0" applyFont="1"/>
    <xf numFmtId="0" fontId="35" fillId="0" borderId="0" xfId="0" applyFont="1" applyAlignment="1">
      <alignment horizontal="left" wrapText="1"/>
    </xf>
    <xf numFmtId="0" fontId="35" fillId="5" borderId="0" xfId="0" applyFont="1" applyFill="1" applyAlignment="1">
      <alignment wrapText="1"/>
    </xf>
    <xf numFmtId="0" fontId="40" fillId="0" borderId="0" xfId="0" applyFont="1" applyAlignment="1">
      <alignment wrapText="1"/>
    </xf>
    <xf numFmtId="0" fontId="35" fillId="0" borderId="0" xfId="0" applyFont="1" applyAlignment="1">
      <alignment horizontal="left" vertical="center" wrapText="1"/>
    </xf>
    <xf numFmtId="0" fontId="33" fillId="0" borderId="0" xfId="0" applyFont="1" applyAlignment="1">
      <alignment horizontal="justify" vertical="center" wrapText="1"/>
    </xf>
    <xf numFmtId="0" fontId="41" fillId="0" borderId="0" xfId="0" applyFont="1" applyAlignment="1">
      <alignment wrapText="1"/>
    </xf>
    <xf numFmtId="0" fontId="35" fillId="0" borderId="0" xfId="0" applyFont="1" applyAlignment="1">
      <alignment horizontal="center" vertical="center" wrapText="1"/>
    </xf>
    <xf numFmtId="0" fontId="33" fillId="0" borderId="0" xfId="0" applyFont="1"/>
    <xf numFmtId="0" fontId="22" fillId="0" borderId="0" xfId="0" applyFont="1" applyAlignment="1">
      <alignment wrapText="1"/>
    </xf>
    <xf numFmtId="0" fontId="35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0" fillId="0" borderId="0" xfId="0" applyAlignment="1">
      <alignment horizontal="center" vertical="center" wrapText="1"/>
    </xf>
    <xf numFmtId="0" fontId="47" fillId="5" borderId="0" xfId="0" applyFont="1" applyFill="1" applyAlignment="1">
      <alignment wrapText="1"/>
    </xf>
    <xf numFmtId="0" fontId="0" fillId="0" borderId="0" xfId="0" applyAlignment="1">
      <alignment horizontal="left" vertical="center" wrapText="1"/>
    </xf>
    <xf numFmtId="0" fontId="33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35" fillId="5" borderId="0" xfId="0" applyFont="1" applyFill="1" applyAlignment="1">
      <alignment horizontal="left" wrapText="1"/>
    </xf>
    <xf numFmtId="0" fontId="33" fillId="0" borderId="0" xfId="0" applyFont="1" applyAlignment="1">
      <alignment horizontal="left" wrapText="1"/>
    </xf>
    <xf numFmtId="0" fontId="32" fillId="0" borderId="0" xfId="0" applyFont="1" applyAlignment="1">
      <alignment horizontal="center" wrapText="1"/>
    </xf>
    <xf numFmtId="49" fontId="3" fillId="0" borderId="5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7" fillId="5" borderId="0" xfId="0" applyFont="1" applyFill="1"/>
    <xf numFmtId="0" fontId="47" fillId="5" borderId="0" xfId="0" applyFont="1" applyFill="1" applyAlignment="1">
      <alignment horizontal="left" wrapText="1"/>
    </xf>
    <xf numFmtId="0" fontId="52" fillId="5" borderId="0" xfId="0" applyFont="1" applyFill="1" applyAlignment="1" applyProtection="1">
      <alignment horizontal="center"/>
      <protection hidden="1"/>
    </xf>
    <xf numFmtId="0" fontId="47" fillId="5" borderId="0" xfId="0" applyFont="1" applyFill="1" applyAlignment="1" applyProtection="1">
      <alignment horizontal="left"/>
      <protection hidden="1"/>
    </xf>
    <xf numFmtId="0" fontId="18" fillId="0" borderId="1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55" fillId="0" borderId="9" xfId="0" applyFont="1" applyBorder="1" applyAlignment="1">
      <alignment vertical="top"/>
    </xf>
    <xf numFmtId="0" fontId="27" fillId="0" borderId="9" xfId="0" applyFont="1" applyBorder="1" applyAlignment="1">
      <alignment vertical="top"/>
    </xf>
    <xf numFmtId="0" fontId="26" fillId="0" borderId="14" xfId="0" applyFont="1" applyBorder="1" applyAlignment="1">
      <alignment horizontal="center" vertical="top"/>
    </xf>
    <xf numFmtId="1" fontId="26" fillId="0" borderId="1" xfId="0" applyNumberFormat="1" applyFont="1" applyBorder="1" applyAlignment="1">
      <alignment horizontal="center" vertical="top"/>
    </xf>
    <xf numFmtId="0" fontId="26" fillId="0" borderId="2" xfId="0" applyFont="1" applyBorder="1" applyAlignment="1">
      <alignment horizontal="center" vertical="top"/>
    </xf>
    <xf numFmtId="49" fontId="26" fillId="0" borderId="3" xfId="0" applyNumberFormat="1" applyFont="1" applyBorder="1" applyAlignment="1">
      <alignment horizontal="center" vertical="top"/>
    </xf>
    <xf numFmtId="0" fontId="26" fillId="0" borderId="3" xfId="0" applyFont="1" applyBorder="1" applyAlignment="1">
      <alignment horizontal="left" vertical="top"/>
    </xf>
    <xf numFmtId="0" fontId="27" fillId="0" borderId="10" xfId="0" applyFont="1" applyBorder="1" applyAlignment="1">
      <alignment vertical="top"/>
    </xf>
    <xf numFmtId="0" fontId="27" fillId="0" borderId="8" xfId="0" applyFont="1" applyBorder="1" applyAlignment="1">
      <alignment vertical="top"/>
    </xf>
    <xf numFmtId="0" fontId="26" fillId="0" borderId="8" xfId="0" applyFont="1" applyBorder="1" applyAlignment="1">
      <alignment vertical="top"/>
    </xf>
    <xf numFmtId="0" fontId="26" fillId="0" borderId="9" xfId="0" applyFont="1" applyBorder="1" applyAlignment="1">
      <alignment vertical="top"/>
    </xf>
    <xf numFmtId="164" fontId="26" fillId="0" borderId="3" xfId="0" applyNumberFormat="1" applyFont="1" applyBorder="1" applyAlignment="1">
      <alignment horizontal="center" vertical="top"/>
    </xf>
    <xf numFmtId="0" fontId="26" fillId="0" borderId="6" xfId="0" applyFont="1" applyBorder="1" applyAlignment="1">
      <alignment vertical="top"/>
    </xf>
    <xf numFmtId="49" fontId="26" fillId="0" borderId="6" xfId="0" applyNumberFormat="1" applyFont="1" applyBorder="1" applyAlignment="1">
      <alignment horizontal="center" vertical="top"/>
    </xf>
    <xf numFmtId="0" fontId="27" fillId="0" borderId="11" xfId="0" applyFont="1" applyBorder="1" applyAlignment="1">
      <alignment vertical="top"/>
    </xf>
    <xf numFmtId="0" fontId="27" fillId="0" borderId="5" xfId="0" applyFont="1" applyBorder="1" applyAlignment="1">
      <alignment vertical="top"/>
    </xf>
    <xf numFmtId="0" fontId="27" fillId="0" borderId="12" xfId="0" applyFont="1" applyBorder="1" applyAlignment="1">
      <alignment vertical="top"/>
    </xf>
    <xf numFmtId="0" fontId="27" fillId="0" borderId="15" xfId="0" applyFont="1" applyBorder="1" applyAlignment="1">
      <alignment vertical="top"/>
    </xf>
    <xf numFmtId="0" fontId="27" fillId="0" borderId="3" xfId="0" applyFont="1" applyBorder="1" applyAlignment="1">
      <alignment vertical="top"/>
    </xf>
    <xf numFmtId="0" fontId="26" fillId="0" borderId="11" xfId="0" applyFont="1" applyBorder="1" applyAlignment="1">
      <alignment vertical="top"/>
    </xf>
    <xf numFmtId="0" fontId="47" fillId="5" borderId="0" xfId="0" applyFont="1" applyFill="1" applyProtection="1">
      <protection hidden="1"/>
    </xf>
    <xf numFmtId="0" fontId="47" fillId="5" borderId="0" xfId="0" applyFont="1" applyFill="1" applyAlignment="1">
      <alignment horizontal="left"/>
    </xf>
    <xf numFmtId="0" fontId="56" fillId="5" borderId="0" xfId="0" applyFont="1" applyFill="1" applyAlignment="1">
      <alignment horizontal="center"/>
    </xf>
    <xf numFmtId="0" fontId="52" fillId="5" borderId="0" xfId="0" applyFont="1" applyFill="1" applyProtection="1">
      <protection hidden="1"/>
    </xf>
    <xf numFmtId="0" fontId="3" fillId="5" borderId="0" xfId="0" applyFont="1" applyFill="1" applyProtection="1">
      <protection hidden="1"/>
    </xf>
    <xf numFmtId="0" fontId="46" fillId="0" borderId="0" xfId="0" applyFont="1" applyAlignment="1">
      <alignment horizontal="left" vertical="center"/>
    </xf>
    <xf numFmtId="0" fontId="22" fillId="0" borderId="0" xfId="0" applyFont="1"/>
    <xf numFmtId="0" fontId="27" fillId="0" borderId="0" xfId="0" applyFont="1"/>
    <xf numFmtId="0" fontId="27" fillId="0" borderId="9" xfId="0" applyFont="1" applyBorder="1"/>
    <xf numFmtId="0" fontId="27" fillId="0" borderId="5" xfId="0" applyFont="1" applyBorder="1"/>
    <xf numFmtId="0" fontId="0" fillId="5" borderId="0" xfId="0" applyFill="1"/>
    <xf numFmtId="49" fontId="57" fillId="5" borderId="0" xfId="0" applyNumberFormat="1" applyFont="1" applyFill="1"/>
    <xf numFmtId="0" fontId="56" fillId="5" borderId="0" xfId="0" applyFont="1" applyFill="1" applyAlignment="1">
      <alignment horizontal="left" vertical="top" wrapText="1"/>
    </xf>
    <xf numFmtId="0" fontId="56" fillId="5" borderId="0" xfId="0" applyFont="1" applyFill="1"/>
    <xf numFmtId="0" fontId="56" fillId="5" borderId="0" xfId="0" applyFont="1" applyFill="1" applyAlignment="1">
      <alignment horizontal="center" vertical="top"/>
    </xf>
    <xf numFmtId="0" fontId="48" fillId="5" borderId="0" xfId="0" applyFont="1" applyFill="1"/>
    <xf numFmtId="0" fontId="56" fillId="5" borderId="0" xfId="0" applyFont="1" applyFill="1" applyAlignment="1">
      <alignment horizontal="center" vertical="center" wrapText="1"/>
    </xf>
    <xf numFmtId="0" fontId="8" fillId="5" borderId="0" xfId="0" applyFont="1" applyFill="1"/>
    <xf numFmtId="0" fontId="47" fillId="5" borderId="0" xfId="0" applyFont="1" applyFill="1" applyAlignment="1">
      <alignment horizontal="left" vertical="top" wrapText="1"/>
    </xf>
    <xf numFmtId="166" fontId="47" fillId="5" borderId="0" xfId="0" applyNumberFormat="1" applyFont="1" applyFill="1" applyAlignment="1">
      <alignment horizontal="center" vertical="top"/>
    </xf>
    <xf numFmtId="0" fontId="47" fillId="5" borderId="0" xfId="0" applyFont="1" applyFill="1" applyAlignment="1">
      <alignment horizontal="center" vertical="top"/>
    </xf>
    <xf numFmtId="0" fontId="40" fillId="5" borderId="0" xfId="0" applyFont="1" applyFill="1"/>
    <xf numFmtId="0" fontId="49" fillId="5" borderId="15" xfId="0" applyFont="1" applyFill="1" applyBorder="1" applyAlignment="1">
      <alignment horizontal="left"/>
    </xf>
    <xf numFmtId="0" fontId="33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59" fillId="0" borderId="0" xfId="0" applyFont="1" applyAlignment="1">
      <alignment wrapText="1"/>
    </xf>
    <xf numFmtId="0" fontId="22" fillId="5" borderId="0" xfId="0" applyFont="1" applyFill="1"/>
    <xf numFmtId="0" fontId="37" fillId="5" borderId="0" xfId="0" applyFont="1" applyFill="1" applyAlignment="1">
      <alignment horizontal="left" wrapText="1"/>
    </xf>
    <xf numFmtId="0" fontId="37" fillId="5" borderId="0" xfId="0" applyFont="1" applyFill="1" applyAlignment="1">
      <alignment wrapText="1"/>
    </xf>
    <xf numFmtId="0" fontId="35" fillId="5" borderId="0" xfId="0" applyFont="1" applyFill="1"/>
    <xf numFmtId="0" fontId="35" fillId="5" borderId="0" xfId="0" applyFont="1" applyFill="1" applyAlignment="1">
      <alignment horizontal="left"/>
    </xf>
    <xf numFmtId="0" fontId="5" fillId="5" borderId="0" xfId="0" applyFont="1" applyFill="1" applyAlignment="1">
      <alignment horizontal="center"/>
    </xf>
    <xf numFmtId="0" fontId="33" fillId="5" borderId="0" xfId="0" applyFont="1" applyFill="1" applyAlignment="1">
      <alignment horizontal="left"/>
    </xf>
    <xf numFmtId="0" fontId="37" fillId="0" borderId="0" xfId="0" applyFont="1" applyAlignment="1">
      <alignment horizontal="center"/>
    </xf>
    <xf numFmtId="0" fontId="37" fillId="0" borderId="0" xfId="0" applyFont="1"/>
    <xf numFmtId="0" fontId="37" fillId="0" borderId="0" xfId="0" applyFont="1" applyAlignment="1">
      <alignment wrapText="1"/>
    </xf>
    <xf numFmtId="0" fontId="36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35" fillId="0" borderId="0" xfId="0" applyFont="1" applyAlignment="1">
      <alignment horizontal="center" wrapText="1"/>
    </xf>
    <xf numFmtId="0" fontId="22" fillId="0" borderId="0" xfId="0" applyFont="1" applyAlignment="1">
      <alignment horizontal="left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3" fillId="5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center" vertical="center" wrapText="1"/>
    </xf>
    <xf numFmtId="0" fontId="48" fillId="5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0" borderId="3" xfId="0" applyFont="1" applyBorder="1" applyAlignment="1">
      <alignment horizontal="center" vertical="center" textRotation="90" wrapText="1"/>
    </xf>
    <xf numFmtId="0" fontId="2" fillId="2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12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63" fillId="0" borderId="0" xfId="0" applyFont="1"/>
    <xf numFmtId="0" fontId="64" fillId="0" borderId="0" xfId="0" applyFont="1"/>
    <xf numFmtId="0" fontId="26" fillId="0" borderId="0" xfId="0" applyFont="1" applyAlignment="1">
      <alignment horizontal="center" vertical="top"/>
    </xf>
    <xf numFmtId="0" fontId="19" fillId="0" borderId="3" xfId="0" applyFont="1" applyBorder="1" applyAlignment="1">
      <alignment horizontal="center" vertical="center" wrapText="1"/>
    </xf>
    <xf numFmtId="0" fontId="56" fillId="5" borderId="0" xfId="0" applyFont="1" applyFill="1" applyAlignment="1" applyProtection="1">
      <alignment horizontal="center"/>
      <protection hidden="1"/>
    </xf>
    <xf numFmtId="0" fontId="57" fillId="5" borderId="0" xfId="0" applyFont="1" applyFill="1" applyAlignment="1">
      <alignment horizontal="left"/>
    </xf>
    <xf numFmtId="0" fontId="57" fillId="5" borderId="0" xfId="0" applyFont="1" applyFill="1"/>
    <xf numFmtId="0" fontId="56" fillId="5" borderId="0" xfId="0" applyFont="1" applyFill="1" applyProtection="1">
      <protection hidden="1"/>
    </xf>
    <xf numFmtId="0" fontId="57" fillId="5" borderId="0" xfId="0" applyFont="1" applyFill="1" applyProtection="1">
      <protection hidden="1"/>
    </xf>
    <xf numFmtId="0" fontId="57" fillId="5" borderId="0" xfId="0" applyFont="1" applyFill="1" applyAlignment="1">
      <alignment wrapText="1"/>
    </xf>
    <xf numFmtId="0" fontId="3" fillId="0" borderId="0" xfId="0" applyFont="1"/>
    <xf numFmtId="0" fontId="47" fillId="0" borderId="1" xfId="0" applyFont="1" applyBorder="1" applyAlignment="1">
      <alignment horizontal="center" vertical="center"/>
    </xf>
    <xf numFmtId="166" fontId="6" fillId="5" borderId="0" xfId="0" applyNumberFormat="1" applyFont="1" applyFill="1" applyAlignment="1" applyProtection="1">
      <alignment horizontal="center" vertical="center"/>
      <protection hidden="1"/>
    </xf>
    <xf numFmtId="49" fontId="6" fillId="5" borderId="0" xfId="0" applyNumberFormat="1" applyFont="1" applyFill="1" applyAlignment="1" applyProtection="1">
      <alignment horizontal="center"/>
      <protection hidden="1"/>
    </xf>
    <xf numFmtId="49" fontId="12" fillId="3" borderId="0" xfId="0" applyNumberFormat="1" applyFont="1" applyFill="1" applyAlignment="1" applyProtection="1">
      <alignment horizontal="center"/>
      <protection hidden="1"/>
    </xf>
    <xf numFmtId="0" fontId="13" fillId="0" borderId="0" xfId="0" applyFont="1" applyAlignment="1">
      <alignment horizontal="center" vertical="center" wrapText="1"/>
    </xf>
    <xf numFmtId="0" fontId="49" fillId="5" borderId="15" xfId="0" applyFont="1" applyFill="1" applyBorder="1"/>
    <xf numFmtId="0" fontId="6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14" fillId="0" borderId="3" xfId="0" applyFont="1" applyBorder="1" applyAlignment="1">
      <alignment vertical="top" wrapText="1"/>
    </xf>
    <xf numFmtId="0" fontId="33" fillId="5" borderId="0" xfId="0" applyFont="1" applyFill="1"/>
    <xf numFmtId="0" fontId="66" fillId="0" borderId="3" xfId="0" applyFont="1" applyBorder="1" applyAlignment="1">
      <alignment horizontal="center" vertical="center" wrapText="1"/>
    </xf>
    <xf numFmtId="0" fontId="40" fillId="0" borderId="0" xfId="0" applyFont="1"/>
    <xf numFmtId="0" fontId="66" fillId="0" borderId="0" xfId="0" applyFont="1" applyAlignment="1">
      <alignment horizontal="center" vertical="center" wrapText="1"/>
    </xf>
    <xf numFmtId="0" fontId="47" fillId="0" borderId="9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top"/>
    </xf>
    <xf numFmtId="0" fontId="41" fillId="0" borderId="0" xfId="0" applyFont="1"/>
    <xf numFmtId="0" fontId="68" fillId="0" borderId="0" xfId="0" applyFont="1" applyAlignment="1">
      <alignment horizontal="center" vertical="center" wrapText="1"/>
    </xf>
    <xf numFmtId="0" fontId="37" fillId="5" borderId="0" xfId="0" applyFont="1" applyFill="1" applyAlignment="1">
      <alignment horizontal="center" wrapText="1"/>
    </xf>
    <xf numFmtId="0" fontId="36" fillId="5" borderId="0" xfId="0" applyFont="1" applyFill="1" applyAlignment="1">
      <alignment horizontal="center" wrapText="1"/>
    </xf>
    <xf numFmtId="0" fontId="69" fillId="0" borderId="0" xfId="0" applyFont="1" applyAlignment="1">
      <alignment horizontal="left" vertical="center" wrapText="1"/>
    </xf>
    <xf numFmtId="0" fontId="35" fillId="5" borderId="0" xfId="0" applyFont="1" applyFill="1" applyAlignment="1">
      <alignment horizontal="center" wrapText="1"/>
    </xf>
    <xf numFmtId="0" fontId="33" fillId="5" borderId="0" xfId="0" applyFont="1" applyFill="1" applyAlignment="1">
      <alignment horizontal="left" wrapText="1"/>
    </xf>
    <xf numFmtId="0" fontId="7" fillId="5" borderId="0" xfId="0" applyFont="1" applyFill="1" applyAlignment="1">
      <alignment horizontal="center" wrapText="1"/>
    </xf>
    <xf numFmtId="0" fontId="36" fillId="5" borderId="0" xfId="0" applyFont="1" applyFill="1" applyAlignment="1">
      <alignment horizontal="left" wrapText="1"/>
    </xf>
    <xf numFmtId="0" fontId="3" fillId="6" borderId="0" xfId="0" applyFont="1" applyFill="1"/>
    <xf numFmtId="0" fontId="17" fillId="0" borderId="1" xfId="0" applyFont="1" applyBorder="1" applyAlignment="1">
      <alignment horizontal="center"/>
    </xf>
    <xf numFmtId="0" fontId="17" fillId="0" borderId="5" xfId="0" applyFont="1" applyBorder="1"/>
    <xf numFmtId="0" fontId="69" fillId="5" borderId="0" xfId="0" applyFont="1" applyFill="1" applyAlignment="1">
      <alignment horizontal="left" vertical="center" wrapText="1"/>
    </xf>
    <xf numFmtId="0" fontId="32" fillId="5" borderId="0" xfId="0" applyFont="1" applyFill="1" applyAlignment="1">
      <alignment horizontal="center" wrapText="1"/>
    </xf>
    <xf numFmtId="0" fontId="22" fillId="5" borderId="0" xfId="0" applyFont="1" applyFill="1" applyAlignment="1">
      <alignment wrapText="1"/>
    </xf>
    <xf numFmtId="0" fontId="3" fillId="5" borderId="0" xfId="0" applyFont="1" applyFill="1"/>
    <xf numFmtId="0" fontId="30" fillId="5" borderId="0" xfId="0" applyFont="1" applyFill="1" applyAlignment="1">
      <alignment horizontal="center" vertical="center" wrapText="1"/>
    </xf>
    <xf numFmtId="0" fontId="30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 wrapText="1"/>
    </xf>
    <xf numFmtId="0" fontId="68" fillId="5" borderId="0" xfId="0" applyFont="1" applyFill="1" applyAlignment="1">
      <alignment horizontal="center" vertical="center" wrapText="1"/>
    </xf>
    <xf numFmtId="0" fontId="33" fillId="5" borderId="0" xfId="0" applyFont="1" applyFill="1" applyAlignment="1">
      <alignment horizontal="center" wrapText="1"/>
    </xf>
    <xf numFmtId="0" fontId="34" fillId="5" borderId="0" xfId="0" applyFont="1" applyFill="1" applyAlignment="1">
      <alignment horizontal="center" wrapText="1"/>
    </xf>
    <xf numFmtId="0" fontId="21" fillId="3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57" fillId="0" borderId="0" xfId="0" applyFont="1"/>
    <xf numFmtId="0" fontId="34" fillId="0" borderId="0" xfId="0" applyFont="1" applyAlignment="1">
      <alignment horizontal="center" wrapText="1"/>
    </xf>
    <xf numFmtId="0" fontId="47" fillId="0" borderId="0" xfId="0" applyFont="1" applyAlignment="1">
      <alignment horizontal="center" vertical="center" wrapText="1"/>
    </xf>
    <xf numFmtId="0" fontId="47" fillId="0" borderId="4" xfId="0" applyFont="1" applyBorder="1" applyAlignment="1">
      <alignment horizontal="center" vertical="center"/>
    </xf>
    <xf numFmtId="0" fontId="47" fillId="0" borderId="3" xfId="0" applyFont="1" applyBorder="1" applyAlignment="1">
      <alignment horizontal="center" vertical="center"/>
    </xf>
    <xf numFmtId="0" fontId="35" fillId="0" borderId="3" xfId="0" applyFont="1" applyBorder="1" applyAlignment="1">
      <alignment horizontal="center"/>
    </xf>
    <xf numFmtId="0" fontId="47" fillId="0" borderId="3" xfId="0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47" fillId="0" borderId="4" xfId="0" applyFont="1" applyBorder="1" applyAlignment="1">
      <alignment horizontal="center"/>
    </xf>
    <xf numFmtId="0" fontId="37" fillId="3" borderId="0" xfId="0" applyFont="1" applyFill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6" fillId="0" borderId="0" xfId="0" applyFont="1" applyAlignment="1">
      <alignment vertical="center" wrapText="1"/>
    </xf>
    <xf numFmtId="0" fontId="72" fillId="0" borderId="0" xfId="0" applyFont="1" applyAlignment="1">
      <alignment horizontal="left" vertical="center" wrapText="1"/>
    </xf>
    <xf numFmtId="0" fontId="72" fillId="0" borderId="0" xfId="0" applyFont="1" applyAlignment="1">
      <alignment horizontal="center" vertical="center" wrapText="1"/>
    </xf>
    <xf numFmtId="0" fontId="72" fillId="5" borderId="0" xfId="0" applyFont="1" applyFill="1" applyAlignment="1">
      <alignment horizontal="left" vertical="center" wrapText="1"/>
    </xf>
    <xf numFmtId="0" fontId="66" fillId="0" borderId="0" xfId="0" applyFont="1" applyAlignment="1">
      <alignment horizontal="left" vertical="center" wrapText="1"/>
    </xf>
    <xf numFmtId="0" fontId="66" fillId="5" borderId="0" xfId="0" applyFont="1" applyFill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5" borderId="0" xfId="0" applyFill="1" applyAlignment="1">
      <alignment vertical="top"/>
    </xf>
    <xf numFmtId="0" fontId="70" fillId="0" borderId="0" xfId="0" applyFont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62" fillId="0" borderId="1" xfId="0" applyFont="1" applyBorder="1" applyAlignment="1">
      <alignment horizontal="center" vertical="center" wrapText="1"/>
    </xf>
    <xf numFmtId="0" fontId="62" fillId="0" borderId="3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0" fontId="4" fillId="0" borderId="1" xfId="0" applyFont="1" applyBorder="1"/>
    <xf numFmtId="0" fontId="75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10" xfId="0" applyFont="1" applyBorder="1"/>
    <xf numFmtId="0" fontId="75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4" fillId="0" borderId="3" xfId="0" applyFont="1" applyBorder="1"/>
    <xf numFmtId="0" fontId="62" fillId="0" borderId="1" xfId="0" applyFont="1" applyBorder="1"/>
    <xf numFmtId="0" fontId="62" fillId="0" borderId="9" xfId="0" applyFont="1" applyBorder="1" applyAlignment="1">
      <alignment horizontal="center" vertical="center" wrapText="1"/>
    </xf>
    <xf numFmtId="0" fontId="62" fillId="0" borderId="3" xfId="0" applyFont="1" applyBorder="1"/>
    <xf numFmtId="0" fontId="75" fillId="0" borderId="7" xfId="0" applyFont="1" applyBorder="1" applyAlignment="1">
      <alignment horizontal="center" vertical="center"/>
    </xf>
    <xf numFmtId="0" fontId="75" fillId="0" borderId="10" xfId="0" applyFont="1" applyBorder="1" applyAlignment="1">
      <alignment horizontal="center"/>
    </xf>
    <xf numFmtId="0" fontId="17" fillId="0" borderId="9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76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0" fontId="17" fillId="0" borderId="1" xfId="0" applyFont="1" applyBorder="1"/>
    <xf numFmtId="0" fontId="76" fillId="0" borderId="9" xfId="0" applyFont="1" applyBorder="1" applyAlignment="1">
      <alignment horizontal="center"/>
    </xf>
    <xf numFmtId="0" fontId="17" fillId="0" borderId="11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9" xfId="0" applyFont="1" applyBorder="1"/>
    <xf numFmtId="0" fontId="17" fillId="0" borderId="3" xfId="0" applyFont="1" applyBorder="1" applyAlignment="1">
      <alignment horizontal="center" wrapText="1"/>
    </xf>
    <xf numFmtId="0" fontId="17" fillId="0" borderId="4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/>
    </xf>
    <xf numFmtId="0" fontId="17" fillId="0" borderId="7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0" xfId="0" applyFont="1" applyBorder="1"/>
    <xf numFmtId="0" fontId="17" fillId="0" borderId="12" xfId="0" applyFont="1" applyBorder="1" applyAlignment="1">
      <alignment horizontal="center" vertical="center"/>
    </xf>
    <xf numFmtId="0" fontId="17" fillId="0" borderId="0" xfId="0" applyFont="1"/>
    <xf numFmtId="0" fontId="4" fillId="0" borderId="0" xfId="0" applyFont="1"/>
    <xf numFmtId="0" fontId="6" fillId="5" borderId="0" xfId="0" applyFont="1" applyFill="1"/>
    <xf numFmtId="0" fontId="37" fillId="5" borderId="0" xfId="0" applyFont="1" applyFill="1"/>
    <xf numFmtId="0" fontId="17" fillId="5" borderId="0" xfId="0" applyFont="1" applyFill="1"/>
    <xf numFmtId="0" fontId="26" fillId="0" borderId="0" xfId="0" applyFont="1"/>
    <xf numFmtId="0" fontId="26" fillId="5" borderId="0" xfId="0" applyFont="1" applyFill="1"/>
    <xf numFmtId="0" fontId="6" fillId="5" borderId="3" xfId="0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/>
      <protection hidden="1"/>
    </xf>
    <xf numFmtId="0" fontId="19" fillId="0" borderId="3" xfId="0" applyFont="1" applyBorder="1" applyAlignment="1">
      <alignment horizontal="center" vertical="top"/>
    </xf>
    <xf numFmtId="0" fontId="48" fillId="0" borderId="0" xfId="0" applyFont="1"/>
    <xf numFmtId="0" fontId="33" fillId="0" borderId="0" xfId="0" applyFont="1" applyAlignment="1">
      <alignment horizontal="left"/>
    </xf>
    <xf numFmtId="0" fontId="8" fillId="5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34" fillId="5" borderId="0" xfId="0" applyFont="1" applyFill="1"/>
    <xf numFmtId="0" fontId="36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57" fillId="5" borderId="0" xfId="0" applyFont="1" applyFill="1" applyAlignment="1">
      <alignment horizontal="left" vertical="center" wrapText="1"/>
    </xf>
    <xf numFmtId="0" fontId="47" fillId="0" borderId="0" xfId="0" applyFont="1"/>
    <xf numFmtId="0" fontId="47" fillId="0" borderId="0" xfId="0" applyFont="1" applyAlignment="1">
      <alignment horizontal="left" vertical="top" wrapText="1"/>
    </xf>
    <xf numFmtId="166" fontId="47" fillId="0" borderId="0" xfId="0" applyNumberFormat="1" applyFont="1" applyAlignment="1">
      <alignment horizontal="center" vertical="top"/>
    </xf>
    <xf numFmtId="0" fontId="47" fillId="0" borderId="0" xfId="0" applyFont="1" applyAlignment="1">
      <alignment horizontal="left"/>
    </xf>
    <xf numFmtId="0" fontId="57" fillId="0" borderId="0" xfId="0" applyFont="1" applyAlignment="1">
      <alignment horizontal="left" wrapText="1"/>
    </xf>
    <xf numFmtId="0" fontId="34" fillId="0" borderId="0" xfId="0" applyFont="1"/>
    <xf numFmtId="0" fontId="7" fillId="0" borderId="0" xfId="0" applyFont="1"/>
    <xf numFmtId="0" fontId="56" fillId="0" borderId="0" xfId="0" applyFont="1" applyAlignment="1">
      <alignment horizontal="center"/>
    </xf>
    <xf numFmtId="0" fontId="56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0" fontId="57" fillId="0" borderId="0" xfId="0" applyFont="1" applyAlignment="1">
      <alignment horizontal="left"/>
    </xf>
    <xf numFmtId="0" fontId="79" fillId="0" borderId="0" xfId="0" applyFont="1"/>
    <xf numFmtId="0" fontId="61" fillId="0" borderId="0" xfId="0" applyFont="1"/>
    <xf numFmtId="0" fontId="81" fillId="0" borderId="0" xfId="0" applyFont="1"/>
    <xf numFmtId="0" fontId="47" fillId="0" borderId="0" xfId="0" applyFont="1" applyAlignment="1">
      <alignment horizontal="left" vertical="center" wrapText="1"/>
    </xf>
    <xf numFmtId="0" fontId="35" fillId="0" borderId="0" xfId="0" applyFont="1" applyAlignment="1">
      <alignment horizontal="center" vertical="center"/>
    </xf>
    <xf numFmtId="0" fontId="8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9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47" fillId="0" borderId="0" xfId="0" applyFont="1" applyAlignment="1">
      <alignment horizontal="left" vertical="center"/>
    </xf>
    <xf numFmtId="0" fontId="34" fillId="0" borderId="0" xfId="0" applyFont="1" applyAlignment="1">
      <alignment horizontal="left" wrapText="1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34" fillId="0" borderId="0" xfId="0" applyFont="1" applyAlignment="1">
      <alignment horizontal="center"/>
    </xf>
    <xf numFmtId="0" fontId="83" fillId="0" borderId="0" xfId="0" applyFont="1"/>
    <xf numFmtId="0" fontId="84" fillId="0" borderId="0" xfId="0" applyFont="1"/>
    <xf numFmtId="0" fontId="77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71" fillId="0" borderId="0" xfId="0" applyFont="1"/>
    <xf numFmtId="0" fontId="8" fillId="0" borderId="0" xfId="0" applyFont="1"/>
    <xf numFmtId="49" fontId="22" fillId="0" borderId="0" xfId="0" applyNumberFormat="1" applyFont="1" applyAlignment="1">
      <alignment wrapText="1"/>
    </xf>
    <xf numFmtId="49" fontId="85" fillId="0" borderId="0" xfId="0" applyNumberFormat="1" applyFont="1" applyAlignment="1">
      <alignment horizontal="justify" vertical="center" wrapText="1"/>
    </xf>
    <xf numFmtId="0" fontId="47" fillId="0" borderId="4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66" fillId="0" borderId="0" xfId="0" applyFont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 wrapText="1"/>
    </xf>
    <xf numFmtId="0" fontId="49" fillId="0" borderId="0" xfId="0" applyFont="1" applyAlignment="1">
      <alignment horizontal="center" vertical="top" wrapText="1"/>
    </xf>
    <xf numFmtId="0" fontId="6" fillId="5" borderId="3" xfId="0" applyFont="1" applyFill="1" applyBorder="1" applyAlignment="1">
      <alignment horizontal="center" vertical="top" wrapText="1"/>
    </xf>
    <xf numFmtId="49" fontId="6" fillId="5" borderId="3" xfId="0" applyNumberFormat="1" applyFont="1" applyFill="1" applyBorder="1" applyAlignment="1">
      <alignment horizontal="center" vertical="top" wrapText="1"/>
    </xf>
    <xf numFmtId="49" fontId="6" fillId="5" borderId="3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 vertical="top"/>
    </xf>
    <xf numFmtId="49" fontId="87" fillId="0" borderId="0" xfId="0" applyNumberFormat="1" applyFont="1" applyAlignment="1">
      <alignment wrapText="1"/>
    </xf>
    <xf numFmtId="0" fontId="17" fillId="0" borderId="3" xfId="0" applyFont="1" applyBorder="1" applyAlignment="1">
      <alignment horizontal="center" vertical="center"/>
    </xf>
    <xf numFmtId="0" fontId="17" fillId="5" borderId="6" xfId="0" applyFont="1" applyFill="1" applyBorder="1" applyAlignment="1">
      <alignment horizontal="center" vertical="center"/>
    </xf>
    <xf numFmtId="0" fontId="78" fillId="0" borderId="0" xfId="0" applyFont="1" applyAlignment="1">
      <alignment horizontal="center"/>
    </xf>
    <xf numFmtId="0" fontId="17" fillId="5" borderId="1" xfId="0" applyFont="1" applyFill="1" applyBorder="1" applyAlignment="1">
      <alignment horizontal="center" vertical="center"/>
    </xf>
    <xf numFmtId="0" fontId="76" fillId="0" borderId="7" xfId="0" applyFont="1" applyBorder="1" applyAlignment="1">
      <alignment horizontal="center" vertical="center"/>
    </xf>
    <xf numFmtId="0" fontId="76" fillId="0" borderId="10" xfId="0" applyFont="1" applyBorder="1" applyAlignment="1">
      <alignment horizontal="center"/>
    </xf>
    <xf numFmtId="0" fontId="17" fillId="0" borderId="5" xfId="0" applyFont="1" applyBorder="1" applyAlignment="1">
      <alignment vertical="center"/>
    </xf>
    <xf numFmtId="0" fontId="17" fillId="0" borderId="3" xfId="0" applyFont="1" applyBorder="1"/>
    <xf numFmtId="0" fontId="26" fillId="5" borderId="1" xfId="0" applyFont="1" applyFill="1" applyBorder="1" applyAlignment="1">
      <alignment horizontal="center" vertical="top"/>
    </xf>
    <xf numFmtId="0" fontId="26" fillId="5" borderId="6" xfId="0" applyFont="1" applyFill="1" applyBorder="1" applyAlignment="1">
      <alignment horizontal="center" vertical="top"/>
    </xf>
    <xf numFmtId="0" fontId="14" fillId="0" borderId="0" xfId="0" applyFont="1" applyAlignment="1">
      <alignment horizontal="left"/>
    </xf>
    <xf numFmtId="0" fontId="14" fillId="0" borderId="0" xfId="0" applyFont="1"/>
    <xf numFmtId="0" fontId="6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/>
    <xf numFmtId="0" fontId="90" fillId="0" borderId="0" xfId="0" applyFont="1"/>
    <xf numFmtId="0" fontId="88" fillId="0" borderId="0" xfId="0" applyFont="1"/>
    <xf numFmtId="0" fontId="92" fillId="0" borderId="0" xfId="0" applyFont="1"/>
    <xf numFmtId="0" fontId="93" fillId="0" borderId="0" xfId="0" applyFont="1"/>
    <xf numFmtId="49" fontId="6" fillId="0" borderId="8" xfId="0" applyNumberFormat="1" applyFont="1" applyBorder="1" applyAlignment="1">
      <alignment horizontal="center" vertical="center" wrapText="1"/>
    </xf>
    <xf numFmtId="0" fontId="12" fillId="0" borderId="8" xfId="0" applyFont="1" applyBorder="1" applyAlignment="1">
      <alignment vertical="center" textRotation="90" wrapText="1"/>
    </xf>
    <xf numFmtId="0" fontId="12" fillId="0" borderId="11" xfId="0" applyFont="1" applyBorder="1" applyAlignment="1">
      <alignment vertical="center" textRotation="90" wrapText="1"/>
    </xf>
    <xf numFmtId="0" fontId="17" fillId="5" borderId="3" xfId="0" applyFont="1" applyFill="1" applyBorder="1" applyAlignment="1">
      <alignment horizontal="center" vertical="center"/>
    </xf>
    <xf numFmtId="49" fontId="18" fillId="5" borderId="1" xfId="0" applyNumberFormat="1" applyFont="1" applyFill="1" applyBorder="1" applyAlignment="1">
      <alignment horizontal="center" vertical="top"/>
    </xf>
    <xf numFmtId="0" fontId="6" fillId="6" borderId="0" xfId="0" applyFont="1" applyFill="1"/>
    <xf numFmtId="0" fontId="17" fillId="5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vertical="center" wrapText="1"/>
    </xf>
    <xf numFmtId="0" fontId="17" fillId="5" borderId="5" xfId="0" applyFont="1" applyFill="1" applyBorder="1"/>
    <xf numFmtId="0" fontId="17" fillId="5" borderId="5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97" fillId="5" borderId="0" xfId="0" applyFont="1" applyFill="1" applyAlignment="1">
      <alignment horizontal="center" vertical="center" wrapText="1"/>
    </xf>
    <xf numFmtId="0" fontId="97" fillId="5" borderId="0" xfId="0" applyFont="1" applyFill="1" applyAlignment="1">
      <alignment horizontal="center" vertical="center"/>
    </xf>
    <xf numFmtId="49" fontId="97" fillId="5" borderId="0" xfId="0" applyNumberFormat="1" applyFont="1" applyFill="1" applyAlignment="1">
      <alignment horizontal="center" vertical="center"/>
    </xf>
    <xf numFmtId="0" fontId="97" fillId="5" borderId="0" xfId="0" applyFont="1" applyFill="1" applyAlignment="1">
      <alignment wrapText="1"/>
    </xf>
    <xf numFmtId="0" fontId="97" fillId="5" borderId="0" xfId="0" applyFont="1" applyFill="1"/>
    <xf numFmtId="49" fontId="97" fillId="5" borderId="3" xfId="0" applyNumberFormat="1" applyFont="1" applyFill="1" applyBorder="1" applyAlignment="1">
      <alignment horizontal="center" vertical="center"/>
    </xf>
    <xf numFmtId="0" fontId="97" fillId="5" borderId="1" xfId="0" applyFont="1" applyFill="1" applyBorder="1" applyAlignment="1">
      <alignment horizontal="center" vertical="center" textRotation="90" wrapText="1"/>
    </xf>
    <xf numFmtId="49" fontId="98" fillId="5" borderId="1" xfId="0" applyNumberFormat="1" applyFont="1" applyFill="1" applyBorder="1" applyAlignment="1">
      <alignment horizontal="center" vertical="center"/>
    </xf>
    <xf numFmtId="0" fontId="98" fillId="5" borderId="0" xfId="0" applyFont="1" applyFill="1"/>
    <xf numFmtId="0" fontId="97" fillId="5" borderId="9" xfId="0" applyFont="1" applyFill="1" applyBorder="1" applyAlignment="1">
      <alignment horizontal="center" vertical="center" textRotation="90" wrapText="1"/>
    </xf>
    <xf numFmtId="49" fontId="98" fillId="5" borderId="9" xfId="0" applyNumberFormat="1" applyFont="1" applyFill="1" applyBorder="1" applyAlignment="1">
      <alignment horizontal="center" vertical="center"/>
    </xf>
    <xf numFmtId="49" fontId="98" fillId="5" borderId="5" xfId="0" applyNumberFormat="1" applyFont="1" applyFill="1" applyBorder="1" applyAlignment="1">
      <alignment horizontal="center" vertical="center"/>
    </xf>
    <xf numFmtId="0" fontId="98" fillId="5" borderId="0" xfId="0" applyFont="1" applyFill="1" applyAlignment="1">
      <alignment horizontal="center" vertical="center"/>
    </xf>
    <xf numFmtId="0" fontId="98" fillId="5" borderId="0" xfId="0" applyFont="1" applyFill="1" applyAlignment="1">
      <alignment horizontal="center"/>
    </xf>
    <xf numFmtId="0" fontId="97" fillId="5" borderId="3" xfId="0" applyFont="1" applyFill="1" applyBorder="1" applyAlignment="1">
      <alignment horizontal="center" vertical="center" textRotation="90" wrapText="1"/>
    </xf>
    <xf numFmtId="49" fontId="98" fillId="5" borderId="3" xfId="0" applyNumberFormat="1" applyFont="1" applyFill="1" applyBorder="1" applyAlignment="1">
      <alignment horizontal="center" vertical="center"/>
    </xf>
    <xf numFmtId="0" fontId="97" fillId="5" borderId="35" xfId="0" applyFont="1" applyFill="1" applyBorder="1" applyAlignment="1">
      <alignment horizontal="center" vertical="center" textRotation="90" wrapText="1"/>
    </xf>
    <xf numFmtId="49" fontId="98" fillId="5" borderId="0" xfId="0" applyNumberFormat="1" applyFont="1" applyFill="1" applyAlignment="1">
      <alignment horizontal="center" vertical="center"/>
    </xf>
    <xf numFmtId="0" fontId="97" fillId="5" borderId="32" xfId="0" applyFont="1" applyFill="1" applyBorder="1" applyAlignment="1">
      <alignment horizontal="center" vertical="center" wrapText="1"/>
    </xf>
    <xf numFmtId="49" fontId="98" fillId="5" borderId="33" xfId="0" applyNumberFormat="1" applyFont="1" applyFill="1" applyBorder="1" applyAlignment="1">
      <alignment horizontal="center" vertical="center"/>
    </xf>
    <xf numFmtId="49" fontId="97" fillId="5" borderId="0" xfId="0" applyNumberFormat="1" applyFont="1" applyFill="1" applyAlignment="1">
      <alignment horizontal="center" vertical="center" wrapText="1"/>
    </xf>
    <xf numFmtId="0" fontId="97" fillId="5" borderId="14" xfId="0" applyFont="1" applyFill="1" applyBorder="1" applyAlignment="1">
      <alignment horizontal="center" vertical="center" wrapText="1"/>
    </xf>
    <xf numFmtId="49" fontId="97" fillId="5" borderId="10" xfId="0" applyNumberFormat="1" applyFont="1" applyFill="1" applyBorder="1" applyAlignment="1">
      <alignment horizontal="center" vertical="center"/>
    </xf>
    <xf numFmtId="49" fontId="98" fillId="5" borderId="10" xfId="0" applyNumberFormat="1" applyFont="1" applyFill="1" applyBorder="1" applyAlignment="1">
      <alignment horizontal="center" vertical="center"/>
    </xf>
    <xf numFmtId="0" fontId="98" fillId="5" borderId="0" xfId="0" applyFont="1" applyFill="1" applyAlignment="1">
      <alignment horizontal="center" vertical="center" wrapText="1"/>
    </xf>
    <xf numFmtId="2" fontId="22" fillId="0" borderId="0" xfId="0" applyNumberFormat="1" applyFont="1" applyAlignment="1">
      <alignment wrapText="1"/>
    </xf>
    <xf numFmtId="49" fontId="77" fillId="0" borderId="0" xfId="0" applyNumberFormat="1" applyFont="1" applyAlignment="1">
      <alignment wrapText="1"/>
    </xf>
    <xf numFmtId="49" fontId="22" fillId="5" borderId="0" xfId="0" applyNumberFormat="1" applyFont="1" applyFill="1" applyAlignment="1">
      <alignment wrapText="1"/>
    </xf>
    <xf numFmtId="0" fontId="12" fillId="4" borderId="0" xfId="0" applyFont="1" applyFill="1" applyAlignment="1">
      <alignment horizontal="center"/>
    </xf>
    <xf numFmtId="0" fontId="4" fillId="5" borderId="3" xfId="0" applyFont="1" applyFill="1" applyBorder="1" applyAlignment="1">
      <alignment horizontal="center" vertical="center"/>
    </xf>
    <xf numFmtId="49" fontId="4" fillId="5" borderId="6" xfId="0" applyNumberFormat="1" applyFont="1" applyFill="1" applyBorder="1" applyAlignment="1">
      <alignment horizontal="center" vertical="center"/>
    </xf>
    <xf numFmtId="49" fontId="4" fillId="5" borderId="8" xfId="0" applyNumberFormat="1" applyFont="1" applyFill="1" applyBorder="1" applyAlignment="1">
      <alignment horizontal="center" vertical="center"/>
    </xf>
    <xf numFmtId="0" fontId="62" fillId="5" borderId="8" xfId="0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9" fontId="4" fillId="5" borderId="9" xfId="0" applyNumberFormat="1" applyFont="1" applyFill="1" applyBorder="1" applyAlignment="1">
      <alignment horizontal="center" vertical="center"/>
    </xf>
    <xf numFmtId="49" fontId="4" fillId="5" borderId="5" xfId="0" applyNumberFormat="1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  <xf numFmtId="49" fontId="62" fillId="5" borderId="8" xfId="0" applyNumberFormat="1" applyFont="1" applyFill="1" applyBorder="1" applyAlignment="1">
      <alignment horizontal="center" vertical="center"/>
    </xf>
    <xf numFmtId="0" fontId="62" fillId="5" borderId="11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17" fillId="5" borderId="9" xfId="0" applyFont="1" applyFill="1" applyBorder="1"/>
    <xf numFmtId="49" fontId="17" fillId="5" borderId="1" xfId="0" applyNumberFormat="1" applyFont="1" applyFill="1" applyBorder="1" applyAlignment="1">
      <alignment horizontal="center" vertical="center"/>
    </xf>
    <xf numFmtId="49" fontId="17" fillId="5" borderId="9" xfId="0" applyNumberFormat="1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56" fillId="5" borderId="0" xfId="0" applyFont="1" applyFill="1" applyAlignment="1">
      <alignment wrapText="1"/>
    </xf>
    <xf numFmtId="0" fontId="32" fillId="5" borderId="0" xfId="0" applyFont="1" applyFill="1" applyAlignment="1">
      <alignment horizontal="center"/>
    </xf>
    <xf numFmtId="0" fontId="75" fillId="0" borderId="7" xfId="0" applyFont="1" applyBorder="1" applyAlignment="1">
      <alignment horizontal="center" vertical="center" shrinkToFit="1"/>
    </xf>
    <xf numFmtId="0" fontId="5" fillId="5" borderId="0" xfId="0" applyFont="1" applyFill="1"/>
    <xf numFmtId="0" fontId="33" fillId="5" borderId="0" xfId="0" applyFont="1" applyFill="1" applyAlignment="1">
      <alignment horizontal="left" vertical="center" wrapText="1"/>
    </xf>
    <xf numFmtId="0" fontId="37" fillId="5" borderId="0" xfId="0" applyFont="1" applyFill="1" applyAlignment="1">
      <alignment horizontal="center"/>
    </xf>
    <xf numFmtId="49" fontId="18" fillId="5" borderId="9" xfId="0" applyNumberFormat="1" applyFont="1" applyFill="1" applyBorder="1" applyAlignment="1">
      <alignment horizontal="center" vertical="top"/>
    </xf>
    <xf numFmtId="0" fontId="18" fillId="5" borderId="9" xfId="0" applyFont="1" applyFill="1" applyBorder="1" applyAlignment="1">
      <alignment horizontal="center" vertical="top"/>
    </xf>
    <xf numFmtId="0" fontId="19" fillId="5" borderId="9" xfId="0" applyFont="1" applyFill="1" applyBorder="1" applyAlignment="1">
      <alignment horizontal="center" vertical="top"/>
    </xf>
    <xf numFmtId="0" fontId="19" fillId="5" borderId="5" xfId="0" applyFont="1" applyFill="1" applyBorder="1" applyAlignment="1">
      <alignment horizontal="center" vertical="top"/>
    </xf>
    <xf numFmtId="49" fontId="26" fillId="5" borderId="1" xfId="0" applyNumberFormat="1" applyFont="1" applyFill="1" applyBorder="1" applyAlignment="1">
      <alignment horizontal="center" vertical="top"/>
    </xf>
    <xf numFmtId="49" fontId="26" fillId="5" borderId="9" xfId="0" applyNumberFormat="1" applyFont="1" applyFill="1" applyBorder="1" applyAlignment="1">
      <alignment horizontal="center" vertical="top"/>
    </xf>
    <xf numFmtId="0" fontId="26" fillId="5" borderId="9" xfId="0" applyFont="1" applyFill="1" applyBorder="1" applyAlignment="1">
      <alignment horizontal="center" vertical="top"/>
    </xf>
    <xf numFmtId="0" fontId="28" fillId="5" borderId="9" xfId="0" applyFont="1" applyFill="1" applyBorder="1" applyAlignment="1">
      <alignment horizontal="center" vertical="top"/>
    </xf>
    <xf numFmtId="0" fontId="0" fillId="5" borderId="9" xfId="0" applyFill="1" applyBorder="1"/>
    <xf numFmtId="0" fontId="1" fillId="5" borderId="9" xfId="0" applyFont="1" applyFill="1" applyBorder="1"/>
    <xf numFmtId="0" fontId="1" fillId="5" borderId="5" xfId="0" applyFont="1" applyFill="1" applyBorder="1"/>
    <xf numFmtId="0" fontId="28" fillId="5" borderId="5" xfId="0" applyFont="1" applyFill="1" applyBorder="1" applyAlignment="1">
      <alignment horizontal="center" vertical="top"/>
    </xf>
    <xf numFmtId="0" fontId="37" fillId="5" borderId="0" xfId="0" applyFont="1" applyFill="1" applyAlignment="1">
      <alignment horizontal="center" vertical="top" wrapText="1"/>
    </xf>
    <xf numFmtId="0" fontId="35" fillId="5" borderId="0" xfId="0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center" textRotation="90" wrapText="1"/>
    </xf>
    <xf numFmtId="49" fontId="17" fillId="0" borderId="1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12" fillId="5" borderId="0" xfId="0" applyFont="1" applyFill="1" applyAlignment="1">
      <alignment horizontal="left"/>
    </xf>
    <xf numFmtId="0" fontId="12" fillId="0" borderId="0" xfId="0" applyFont="1" applyAlignment="1">
      <alignment horizontal="left" wrapText="1"/>
    </xf>
    <xf numFmtId="0" fontId="12" fillId="5" borderId="0" xfId="0" applyFont="1" applyFill="1" applyAlignment="1">
      <alignment horizontal="left" wrapText="1"/>
    </xf>
    <xf numFmtId="49" fontId="6" fillId="6" borderId="0" xfId="0" applyNumberFormat="1" applyFont="1" applyFill="1"/>
    <xf numFmtId="49" fontId="6" fillId="5" borderId="0" xfId="0" applyNumberFormat="1" applyFont="1" applyFill="1"/>
    <xf numFmtId="0" fontId="6" fillId="5" borderId="1" xfId="0" applyFont="1" applyFill="1" applyBorder="1" applyAlignment="1">
      <alignment horizontal="center" vertical="top" wrapText="1"/>
    </xf>
    <xf numFmtId="0" fontId="6" fillId="5" borderId="9" xfId="0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/>
    </xf>
    <xf numFmtId="49" fontId="6" fillId="0" borderId="9" xfId="0" applyNumberFormat="1" applyFont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left" vertical="center" wrapText="1"/>
    </xf>
    <xf numFmtId="49" fontId="6" fillId="0" borderId="16" xfId="0" applyNumberFormat="1" applyFont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6" fillId="5" borderId="3" xfId="0" applyFont="1" applyFill="1" applyBorder="1" applyProtection="1">
      <protection hidden="1"/>
    </xf>
    <xf numFmtId="0" fontId="6" fillId="5" borderId="3" xfId="0" applyFont="1" applyFill="1" applyBorder="1" applyAlignment="1">
      <alignment horizontal="left" wrapText="1"/>
    </xf>
    <xf numFmtId="49" fontId="6" fillId="0" borderId="3" xfId="0" applyNumberFormat="1" applyFont="1" applyBorder="1" applyAlignment="1">
      <alignment horizontal="center"/>
    </xf>
    <xf numFmtId="0" fontId="6" fillId="5" borderId="3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7" fillId="5" borderId="0" xfId="0" applyFont="1" applyFill="1"/>
    <xf numFmtId="0" fontId="6" fillId="0" borderId="9" xfId="0" applyFont="1" applyBorder="1" applyAlignment="1">
      <alignment horizontal="center" vertical="center" wrapText="1"/>
    </xf>
    <xf numFmtId="0" fontId="35" fillId="6" borderId="0" xfId="0" applyFont="1" applyFill="1"/>
    <xf numFmtId="49" fontId="35" fillId="6" borderId="0" xfId="0" applyNumberFormat="1" applyFont="1" applyFill="1"/>
    <xf numFmtId="49" fontId="35" fillId="5" borderId="0" xfId="0" applyNumberFormat="1" applyFont="1" applyFill="1"/>
    <xf numFmtId="0" fontId="97" fillId="5" borderId="0" xfId="0" applyFont="1" applyFill="1" applyAlignment="1">
      <alignment horizontal="center" wrapText="1"/>
    </xf>
    <xf numFmtId="0" fontId="97" fillId="5" borderId="0" xfId="0" applyFont="1" applyFill="1" applyAlignment="1">
      <alignment horizontal="center"/>
    </xf>
    <xf numFmtId="0" fontId="97" fillId="5" borderId="3" xfId="0" applyFont="1" applyFill="1" applyBorder="1" applyAlignment="1">
      <alignment vertical="center" wrapText="1"/>
    </xf>
    <xf numFmtId="0" fontId="97" fillId="5" borderId="4" xfId="0" applyFont="1" applyFill="1" applyBorder="1" applyAlignment="1">
      <alignment horizontal="center" vertical="center"/>
    </xf>
    <xf numFmtId="0" fontId="97" fillId="5" borderId="18" xfId="0" applyFont="1" applyFill="1" applyBorder="1" applyAlignment="1">
      <alignment horizontal="center" vertical="center"/>
    </xf>
    <xf numFmtId="0" fontId="97" fillId="5" borderId="19" xfId="0" applyFont="1" applyFill="1" applyBorder="1" applyAlignment="1">
      <alignment horizontal="center" vertical="center"/>
    </xf>
    <xf numFmtId="0" fontId="97" fillId="5" borderId="20" xfId="0" applyFont="1" applyFill="1" applyBorder="1" applyAlignment="1">
      <alignment horizontal="center" vertical="center"/>
    </xf>
    <xf numFmtId="0" fontId="97" fillId="5" borderId="41" xfId="0" applyFont="1" applyFill="1" applyBorder="1" applyAlignment="1">
      <alignment horizontal="center" vertical="center"/>
    </xf>
    <xf numFmtId="0" fontId="97" fillId="5" borderId="39" xfId="0" applyFont="1" applyFill="1" applyBorder="1" applyAlignment="1">
      <alignment horizontal="center" vertical="center"/>
    </xf>
    <xf numFmtId="0" fontId="97" fillId="5" borderId="36" xfId="0" applyFont="1" applyFill="1" applyBorder="1" applyAlignment="1">
      <alignment horizontal="center" vertical="center"/>
    </xf>
    <xf numFmtId="0" fontId="98" fillId="5" borderId="1" xfId="0" applyFont="1" applyFill="1" applyBorder="1" applyAlignment="1">
      <alignment wrapText="1"/>
    </xf>
    <xf numFmtId="0" fontId="98" fillId="5" borderId="6" xfId="0" applyFont="1" applyFill="1" applyBorder="1" applyAlignment="1">
      <alignment horizontal="center"/>
    </xf>
    <xf numFmtId="0" fontId="98" fillId="5" borderId="23" xfId="0" applyFont="1" applyFill="1" applyBorder="1" applyAlignment="1">
      <alignment horizontal="center"/>
    </xf>
    <xf numFmtId="0" fontId="98" fillId="5" borderId="25" xfId="0" applyFont="1" applyFill="1" applyBorder="1" applyAlignment="1">
      <alignment horizontal="center"/>
    </xf>
    <xf numFmtId="0" fontId="98" fillId="5" borderId="24" xfId="0" applyFont="1" applyFill="1" applyBorder="1" applyAlignment="1">
      <alignment horizontal="center"/>
    </xf>
    <xf numFmtId="0" fontId="98" fillId="5" borderId="1" xfId="0" applyFont="1" applyFill="1" applyBorder="1" applyAlignment="1">
      <alignment horizontal="center"/>
    </xf>
    <xf numFmtId="0" fontId="98" fillId="5" borderId="7" xfId="0" applyFont="1" applyFill="1" applyBorder="1" applyAlignment="1">
      <alignment horizontal="center"/>
    </xf>
    <xf numFmtId="0" fontId="98" fillId="5" borderId="9" xfId="0" applyFont="1" applyFill="1" applyBorder="1" applyAlignment="1">
      <alignment wrapText="1"/>
    </xf>
    <xf numFmtId="0" fontId="98" fillId="5" borderId="8" xfId="0" applyFont="1" applyFill="1" applyBorder="1" applyAlignment="1">
      <alignment horizontal="center"/>
    </xf>
    <xf numFmtId="0" fontId="98" fillId="5" borderId="26" xfId="0" applyFont="1" applyFill="1" applyBorder="1" applyAlignment="1">
      <alignment horizontal="center"/>
    </xf>
    <xf numFmtId="0" fontId="98" fillId="5" borderId="28" xfId="0" applyFont="1" applyFill="1" applyBorder="1" applyAlignment="1">
      <alignment horizontal="center"/>
    </xf>
    <xf numFmtId="0" fontId="98" fillId="5" borderId="27" xfId="0" applyFont="1" applyFill="1" applyBorder="1" applyAlignment="1">
      <alignment horizontal="center"/>
    </xf>
    <xf numFmtId="0" fontId="98" fillId="5" borderId="9" xfId="0" applyFont="1" applyFill="1" applyBorder="1" applyAlignment="1">
      <alignment horizontal="center"/>
    </xf>
    <xf numFmtId="0" fontId="98" fillId="5" borderId="10" xfId="0" applyFont="1" applyFill="1" applyBorder="1" applyAlignment="1">
      <alignment horizontal="center"/>
    </xf>
    <xf numFmtId="0" fontId="98" fillId="5" borderId="5" xfId="0" applyFont="1" applyFill="1" applyBorder="1" applyAlignment="1">
      <alignment wrapText="1"/>
    </xf>
    <xf numFmtId="0" fontId="98" fillId="5" borderId="11" xfId="0" applyFont="1" applyFill="1" applyBorder="1" applyAlignment="1">
      <alignment horizontal="center"/>
    </xf>
    <xf numFmtId="0" fontId="98" fillId="5" borderId="30" xfId="0" applyFont="1" applyFill="1" applyBorder="1" applyAlignment="1">
      <alignment horizontal="center"/>
    </xf>
    <xf numFmtId="0" fontId="98" fillId="5" borderId="29" xfId="0" applyFont="1" applyFill="1" applyBorder="1" applyAlignment="1">
      <alignment horizontal="center"/>
    </xf>
    <xf numFmtId="0" fontId="98" fillId="5" borderId="31" xfId="0" applyFont="1" applyFill="1" applyBorder="1" applyAlignment="1">
      <alignment horizontal="center"/>
    </xf>
    <xf numFmtId="0" fontId="98" fillId="5" borderId="5" xfId="0" applyFont="1" applyFill="1" applyBorder="1" applyAlignment="1">
      <alignment horizontal="center"/>
    </xf>
    <xf numFmtId="0" fontId="98" fillId="5" borderId="12" xfId="0" applyFont="1" applyFill="1" applyBorder="1" applyAlignment="1">
      <alignment horizontal="center"/>
    </xf>
    <xf numFmtId="0" fontId="98" fillId="5" borderId="1" xfId="0" applyFont="1" applyFill="1" applyBorder="1" applyAlignment="1">
      <alignment vertical="center" wrapText="1"/>
    </xf>
    <xf numFmtId="0" fontId="98" fillId="5" borderId="6" xfId="0" applyFont="1" applyFill="1" applyBorder="1" applyAlignment="1">
      <alignment horizontal="center" vertical="center"/>
    </xf>
    <xf numFmtId="0" fontId="98" fillId="5" borderId="24" xfId="0" applyFont="1" applyFill="1" applyBorder="1" applyAlignment="1">
      <alignment horizontal="center" vertical="center"/>
    </xf>
    <xf numFmtId="0" fontId="98" fillId="5" borderId="25" xfId="0" applyFont="1" applyFill="1" applyBorder="1" applyAlignment="1">
      <alignment horizontal="center" vertical="center"/>
    </xf>
    <xf numFmtId="0" fontId="98" fillId="5" borderId="23" xfId="0" applyFont="1" applyFill="1" applyBorder="1" applyAlignment="1">
      <alignment horizontal="center" vertical="center"/>
    </xf>
    <xf numFmtId="0" fontId="98" fillId="5" borderId="14" xfId="0" applyFont="1" applyFill="1" applyBorder="1" applyAlignment="1">
      <alignment horizontal="center" vertical="center"/>
    </xf>
    <xf numFmtId="0" fontId="98" fillId="5" borderId="5" xfId="0" applyFont="1" applyFill="1" applyBorder="1" applyAlignment="1">
      <alignment vertical="center" wrapText="1"/>
    </xf>
    <xf numFmtId="0" fontId="98" fillId="5" borderId="11" xfId="0" applyFont="1" applyFill="1" applyBorder="1" applyAlignment="1">
      <alignment horizontal="center" vertical="center"/>
    </xf>
    <xf numFmtId="0" fontId="98" fillId="5" borderId="31" xfId="0" applyFont="1" applyFill="1" applyBorder="1" applyAlignment="1">
      <alignment horizontal="center" vertical="center"/>
    </xf>
    <xf numFmtId="0" fontId="98" fillId="5" borderId="29" xfId="0" applyFont="1" applyFill="1" applyBorder="1" applyAlignment="1">
      <alignment horizontal="center" vertical="center"/>
    </xf>
    <xf numFmtId="0" fontId="98" fillId="5" borderId="30" xfId="0" applyFont="1" applyFill="1" applyBorder="1" applyAlignment="1">
      <alignment horizontal="center" vertical="center"/>
    </xf>
    <xf numFmtId="0" fontId="98" fillId="5" borderId="15" xfId="0" applyFont="1" applyFill="1" applyBorder="1" applyAlignment="1">
      <alignment horizontal="center" vertical="center"/>
    </xf>
    <xf numFmtId="0" fontId="98" fillId="5" borderId="14" xfId="0" applyFont="1" applyFill="1" applyBorder="1" applyAlignment="1">
      <alignment horizontal="center"/>
    </xf>
    <xf numFmtId="0" fontId="98" fillId="5" borderId="5" xfId="0" applyFont="1" applyFill="1" applyBorder="1" applyAlignment="1">
      <alignment horizontal="center" wrapText="1"/>
    </xf>
    <xf numFmtId="0" fontId="98" fillId="5" borderId="15" xfId="0" applyFont="1" applyFill="1" applyBorder="1" applyAlignment="1">
      <alignment horizontal="center"/>
    </xf>
    <xf numFmtId="0" fontId="98" fillId="5" borderId="3" xfId="0" applyFont="1" applyFill="1" applyBorder="1" applyAlignment="1">
      <alignment vertical="center" wrapText="1"/>
    </xf>
    <xf numFmtId="0" fontId="98" fillId="5" borderId="3" xfId="0" applyFont="1" applyFill="1" applyBorder="1" applyAlignment="1">
      <alignment horizontal="center" vertical="center"/>
    </xf>
    <xf numFmtId="0" fontId="98" fillId="5" borderId="21" xfId="0" applyFont="1" applyFill="1" applyBorder="1" applyAlignment="1">
      <alignment horizontal="center" vertical="center"/>
    </xf>
    <xf numFmtId="0" fontId="98" fillId="5" borderId="22" xfId="0" applyFont="1" applyFill="1" applyBorder="1" applyAlignment="1">
      <alignment horizontal="center" vertical="center"/>
    </xf>
    <xf numFmtId="0" fontId="98" fillId="5" borderId="4" xfId="0" applyFont="1" applyFill="1" applyBorder="1" applyAlignment="1">
      <alignment horizontal="center" vertical="center"/>
    </xf>
    <xf numFmtId="0" fontId="98" fillId="5" borderId="42" xfId="0" applyFont="1" applyFill="1" applyBorder="1" applyAlignment="1">
      <alignment horizontal="center" vertical="center"/>
    </xf>
    <xf numFmtId="0" fontId="98" fillId="5" borderId="13" xfId="0" applyFont="1" applyFill="1" applyBorder="1" applyAlignment="1">
      <alignment horizontal="center" vertical="center"/>
    </xf>
    <xf numFmtId="0" fontId="98" fillId="5" borderId="9" xfId="0" applyFont="1" applyFill="1" applyBorder="1" applyAlignment="1">
      <alignment vertical="center" wrapText="1"/>
    </xf>
    <xf numFmtId="0" fontId="98" fillId="5" borderId="9" xfId="0" applyFont="1" applyFill="1" applyBorder="1" applyAlignment="1">
      <alignment horizontal="center" vertical="center"/>
    </xf>
    <xf numFmtId="0" fontId="98" fillId="5" borderId="27" xfId="0" applyFont="1" applyFill="1" applyBorder="1" applyAlignment="1">
      <alignment horizontal="center" vertical="center"/>
    </xf>
    <xf numFmtId="0" fontId="98" fillId="5" borderId="28" xfId="0" applyFont="1" applyFill="1" applyBorder="1" applyAlignment="1">
      <alignment horizontal="center" vertical="center"/>
    </xf>
    <xf numFmtId="0" fontId="98" fillId="5" borderId="8" xfId="0" applyFont="1" applyFill="1" applyBorder="1" applyAlignment="1">
      <alignment horizontal="center" vertical="center"/>
    </xf>
    <xf numFmtId="0" fontId="98" fillId="5" borderId="26" xfId="0" applyFont="1" applyFill="1" applyBorder="1" applyAlignment="1">
      <alignment horizontal="center" vertical="center"/>
    </xf>
    <xf numFmtId="0" fontId="98" fillId="5" borderId="5" xfId="0" applyFont="1" applyFill="1" applyBorder="1" applyAlignment="1">
      <alignment horizontal="center" vertical="center"/>
    </xf>
    <xf numFmtId="0" fontId="98" fillId="5" borderId="1" xfId="0" applyFont="1" applyFill="1" applyBorder="1" applyAlignment="1">
      <alignment horizontal="center" vertical="center"/>
    </xf>
    <xf numFmtId="0" fontId="98" fillId="5" borderId="1" xfId="0" applyFont="1" applyFill="1" applyBorder="1" applyAlignment="1">
      <alignment horizontal="center" vertical="center" wrapText="1"/>
    </xf>
    <xf numFmtId="0" fontId="98" fillId="5" borderId="25" xfId="0" applyFont="1" applyFill="1" applyBorder="1" applyAlignment="1">
      <alignment wrapText="1"/>
    </xf>
    <xf numFmtId="0" fontId="98" fillId="5" borderId="28" xfId="0" applyFont="1" applyFill="1" applyBorder="1" applyAlignment="1">
      <alignment wrapText="1"/>
    </xf>
    <xf numFmtId="0" fontId="98" fillId="5" borderId="29" xfId="0" applyFont="1" applyFill="1" applyBorder="1" applyAlignment="1">
      <alignment wrapText="1"/>
    </xf>
    <xf numFmtId="0" fontId="98" fillId="5" borderId="1" xfId="0" applyFont="1" applyFill="1" applyBorder="1" applyAlignment="1">
      <alignment horizontal="center" wrapText="1"/>
    </xf>
    <xf numFmtId="0" fontId="98" fillId="5" borderId="9" xfId="0" applyFont="1" applyFill="1" applyBorder="1" applyAlignment="1">
      <alignment horizontal="center" wrapText="1"/>
    </xf>
    <xf numFmtId="0" fontId="98" fillId="5" borderId="0" xfId="0" applyFont="1" applyFill="1" applyAlignment="1">
      <alignment wrapText="1"/>
    </xf>
    <xf numFmtId="0" fontId="97" fillId="5" borderId="33" xfId="0" applyFont="1" applyFill="1" applyBorder="1" applyAlignment="1">
      <alignment vertical="center" wrapText="1"/>
    </xf>
    <xf numFmtId="0" fontId="98" fillId="5" borderId="33" xfId="0" applyFont="1" applyFill="1" applyBorder="1" applyAlignment="1">
      <alignment horizontal="center" vertical="center"/>
    </xf>
    <xf numFmtId="0" fontId="97" fillId="5" borderId="34" xfId="0" applyFont="1" applyFill="1" applyBorder="1" applyAlignment="1">
      <alignment horizontal="center" vertical="center"/>
    </xf>
    <xf numFmtId="0" fontId="97" fillId="5" borderId="32" xfId="0" applyFont="1" applyFill="1" applyBorder="1" applyAlignment="1">
      <alignment horizontal="center" vertical="center"/>
    </xf>
    <xf numFmtId="0" fontId="97" fillId="5" borderId="38" xfId="0" applyFont="1" applyFill="1" applyBorder="1" applyAlignment="1">
      <alignment horizontal="center" vertical="center"/>
    </xf>
    <xf numFmtId="0" fontId="97" fillId="5" borderId="40" xfId="0" applyFont="1" applyFill="1" applyBorder="1" applyAlignment="1">
      <alignment horizontal="center" vertical="center"/>
    </xf>
    <xf numFmtId="0" fontId="97" fillId="5" borderId="37" xfId="0" applyFont="1" applyFill="1" applyBorder="1" applyAlignment="1">
      <alignment horizontal="center" vertical="center"/>
    </xf>
    <xf numFmtId="0" fontId="99" fillId="5" borderId="0" xfId="1" applyFont="1" applyFill="1" applyAlignment="1">
      <alignment horizontal="right" vertical="top" wrapText="1"/>
    </xf>
    <xf numFmtId="0" fontId="99" fillId="5" borderId="0" xfId="6" applyFont="1" applyFill="1" applyBorder="1" applyAlignment="1">
      <alignment horizontal="right" vertical="top"/>
    </xf>
    <xf numFmtId="0" fontId="99" fillId="5" borderId="0" xfId="1" applyFont="1" applyFill="1" applyAlignment="1">
      <alignment horizontal="right" vertical="top"/>
    </xf>
    <xf numFmtId="0" fontId="97" fillId="5" borderId="3" xfId="0" applyFont="1" applyFill="1" applyBorder="1" applyAlignment="1">
      <alignment horizontal="center" vertical="center"/>
    </xf>
    <xf numFmtId="0" fontId="98" fillId="5" borderId="3" xfId="0" applyFont="1" applyFill="1" applyBorder="1" applyAlignment="1">
      <alignment wrapText="1"/>
    </xf>
    <xf numFmtId="0" fontId="98" fillId="5" borderId="3" xfId="0" applyFont="1" applyFill="1" applyBorder="1" applyAlignment="1">
      <alignment horizontal="center"/>
    </xf>
    <xf numFmtId="0" fontId="98" fillId="5" borderId="3" xfId="0" applyFont="1" applyFill="1" applyBorder="1" applyAlignment="1" applyProtection="1">
      <alignment wrapText="1"/>
      <protection hidden="1"/>
    </xf>
    <xf numFmtId="0" fontId="98" fillId="5" borderId="3" xfId="0" applyFont="1" applyFill="1" applyBorder="1" applyAlignment="1" applyProtection="1">
      <alignment horizontal="center"/>
      <protection hidden="1"/>
    </xf>
    <xf numFmtId="0" fontId="98" fillId="5" borderId="3" xfId="0" applyFont="1" applyFill="1" applyBorder="1" applyAlignment="1">
      <alignment horizontal="center" vertical="center" wrapText="1"/>
    </xf>
    <xf numFmtId="0" fontId="98" fillId="5" borderId="4" xfId="0" applyFont="1" applyFill="1" applyBorder="1" applyAlignment="1">
      <alignment vertical="center" wrapText="1"/>
    </xf>
    <xf numFmtId="0" fontId="98" fillId="5" borderId="1" xfId="0" applyFont="1" applyFill="1" applyBorder="1" applyAlignment="1">
      <alignment horizontal="left" wrapText="1"/>
    </xf>
    <xf numFmtId="0" fontId="98" fillId="5" borderId="9" xfId="0" applyFont="1" applyFill="1" applyBorder="1" applyAlignment="1">
      <alignment horizontal="left" wrapText="1"/>
    </xf>
    <xf numFmtId="0" fontId="98" fillId="5" borderId="5" xfId="0" applyFont="1" applyFill="1" applyBorder="1" applyAlignment="1">
      <alignment horizontal="left" wrapText="1"/>
    </xf>
    <xf numFmtId="0" fontId="98" fillId="5" borderId="6" xfId="0" applyFont="1" applyFill="1" applyBorder="1" applyAlignment="1">
      <alignment horizontal="left" wrapText="1"/>
    </xf>
    <xf numFmtId="0" fontId="98" fillId="5" borderId="8" xfId="0" applyFont="1" applyFill="1" applyBorder="1" applyAlignment="1">
      <alignment horizontal="left" wrapText="1"/>
    </xf>
    <xf numFmtId="0" fontId="98" fillId="5" borderId="11" xfId="0" applyFont="1" applyFill="1" applyBorder="1" applyAlignment="1">
      <alignment horizontal="left" wrapText="1"/>
    </xf>
    <xf numFmtId="0" fontId="97" fillId="5" borderId="3" xfId="0" applyFont="1" applyFill="1" applyBorder="1" applyAlignment="1">
      <alignment horizontal="center"/>
    </xf>
    <xf numFmtId="0" fontId="100" fillId="5" borderId="0" xfId="0" applyFont="1" applyFill="1" applyAlignment="1">
      <alignment horizontal="center"/>
    </xf>
    <xf numFmtId="0" fontId="97" fillId="9" borderId="0" xfId="0" applyFont="1" applyFill="1" applyAlignment="1">
      <alignment horizontal="center" wrapText="1"/>
    </xf>
    <xf numFmtId="167" fontId="97" fillId="5" borderId="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left" vertical="center" wrapText="1"/>
    </xf>
    <xf numFmtId="0" fontId="6" fillId="4" borderId="0" xfId="0" applyFont="1" applyFill="1"/>
    <xf numFmtId="0" fontId="37" fillId="0" borderId="0" xfId="0" applyFont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49" fontId="26" fillId="0" borderId="1" xfId="0" applyNumberFormat="1" applyFont="1" applyBorder="1" applyAlignment="1">
      <alignment horizontal="center" vertical="top"/>
    </xf>
    <xf numFmtId="49" fontId="26" fillId="0" borderId="9" xfId="0" applyNumberFormat="1" applyFont="1" applyBorder="1" applyAlignment="1">
      <alignment horizontal="center" vertical="top"/>
    </xf>
    <xf numFmtId="0" fontId="37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center" wrapText="1"/>
    </xf>
    <xf numFmtId="0" fontId="56" fillId="5" borderId="0" xfId="0" applyFont="1" applyFill="1" applyAlignment="1">
      <alignment horizontal="center" wrapText="1"/>
    </xf>
    <xf numFmtId="49" fontId="47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left"/>
    </xf>
    <xf numFmtId="0" fontId="33" fillId="5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103" fillId="0" borderId="0" xfId="0" applyFont="1"/>
    <xf numFmtId="0" fontId="6" fillId="0" borderId="0" xfId="0" applyFont="1" applyAlignment="1">
      <alignment vertical="center" wrapText="1"/>
    </xf>
    <xf numFmtId="165" fontId="6" fillId="4" borderId="0" xfId="0" applyNumberFormat="1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03" fillId="2" borderId="0" xfId="0" applyFont="1" applyFill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4" fontId="6" fillId="4" borderId="0" xfId="0" applyNumberFormat="1" applyFont="1" applyFill="1" applyAlignment="1">
      <alignment horizontal="center" vertical="center" wrapText="1"/>
    </xf>
    <xf numFmtId="165" fontId="103" fillId="4" borderId="0" xfId="0" applyNumberFormat="1" applyFont="1" applyFill="1"/>
    <xf numFmtId="0" fontId="40" fillId="0" borderId="0" xfId="0" applyFont="1" applyAlignment="1">
      <alignment horizontal="center" vertical="center" wrapText="1"/>
    </xf>
    <xf numFmtId="0" fontId="40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left"/>
    </xf>
    <xf numFmtId="0" fontId="6" fillId="0" borderId="0" xfId="0" applyFont="1" applyAlignment="1">
      <alignment horizontal="left" wrapText="1"/>
    </xf>
    <xf numFmtId="0" fontId="6" fillId="5" borderId="0" xfId="0" applyFont="1" applyFill="1" applyAlignment="1">
      <alignment horizontal="left" wrapText="1"/>
    </xf>
    <xf numFmtId="0" fontId="103" fillId="0" borderId="0" xfId="0" applyFont="1" applyAlignment="1">
      <alignment wrapText="1"/>
    </xf>
    <xf numFmtId="0" fontId="6" fillId="5" borderId="0" xfId="0" applyFont="1" applyFill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4" borderId="0" xfId="0" applyFont="1" applyFill="1" applyAlignment="1">
      <alignment wrapText="1"/>
    </xf>
    <xf numFmtId="0" fontId="75" fillId="0" borderId="1" xfId="0" applyFont="1" applyBorder="1" applyAlignment="1">
      <alignment horizontal="center" vertical="center" shrinkToFit="1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/>
    </xf>
    <xf numFmtId="0" fontId="35" fillId="0" borderId="0" xfId="0" applyFont="1" applyAlignment="1">
      <alignment vertical="center"/>
    </xf>
    <xf numFmtId="0" fontId="22" fillId="0" borderId="0" xfId="0" applyFont="1" applyAlignment="1">
      <alignment vertical="center" wrapText="1"/>
    </xf>
    <xf numFmtId="0" fontId="6" fillId="5" borderId="0" xfId="0" applyFont="1" applyFill="1" applyAlignment="1">
      <alignment vertical="center" wrapText="1"/>
    </xf>
    <xf numFmtId="0" fontId="6" fillId="5" borderId="0" xfId="0" applyFont="1" applyFill="1" applyAlignment="1">
      <alignment horizontal="left" vertical="center" wrapText="1"/>
    </xf>
    <xf numFmtId="166" fontId="6" fillId="0" borderId="0" xfId="0" applyNumberFormat="1" applyFont="1"/>
    <xf numFmtId="0" fontId="6" fillId="5" borderId="0" xfId="0" applyFont="1" applyFill="1" applyAlignment="1">
      <alignment wrapText="1"/>
    </xf>
    <xf numFmtId="0" fontId="57" fillId="0" borderId="0" xfId="0" applyFont="1" applyAlignment="1">
      <alignment wrapText="1"/>
    </xf>
    <xf numFmtId="0" fontId="26" fillId="5" borderId="7" xfId="0" applyFont="1" applyFill="1" applyBorder="1" applyAlignment="1">
      <alignment horizontal="center" vertical="top"/>
    </xf>
    <xf numFmtId="0" fontId="26" fillId="5" borderId="14" xfId="0" applyFont="1" applyFill="1" applyBorder="1" applyAlignment="1">
      <alignment horizontal="center" vertical="top"/>
    </xf>
    <xf numFmtId="1" fontId="26" fillId="5" borderId="1" xfId="0" applyNumberFormat="1" applyFont="1" applyFill="1" applyBorder="1" applyAlignment="1">
      <alignment horizontal="center" vertical="top"/>
    </xf>
    <xf numFmtId="0" fontId="26" fillId="5" borderId="2" xfId="0" applyFont="1" applyFill="1" applyBorder="1" applyAlignment="1">
      <alignment horizontal="center" vertical="top"/>
    </xf>
    <xf numFmtId="0" fontId="26" fillId="5" borderId="3" xfId="0" applyFont="1" applyFill="1" applyBorder="1" applyAlignment="1">
      <alignment vertical="top"/>
    </xf>
    <xf numFmtId="49" fontId="26" fillId="5" borderId="3" xfId="0" applyNumberFormat="1" applyFont="1" applyFill="1" applyBorder="1" applyAlignment="1">
      <alignment horizontal="center" vertical="top"/>
    </xf>
    <xf numFmtId="0" fontId="26" fillId="5" borderId="3" xfId="0" applyFont="1" applyFill="1" applyBorder="1" applyAlignment="1">
      <alignment horizontal="center" vertical="top"/>
    </xf>
    <xf numFmtId="0" fontId="26" fillId="5" borderId="8" xfId="0" applyFont="1" applyFill="1" applyBorder="1" applyAlignment="1">
      <alignment horizontal="center" vertical="top"/>
    </xf>
    <xf numFmtId="0" fontId="26" fillId="5" borderId="10" xfId="0" applyFont="1" applyFill="1" applyBorder="1" applyAlignment="1">
      <alignment horizontal="center" vertical="top"/>
    </xf>
    <xf numFmtId="0" fontId="26" fillId="5" borderId="0" xfId="0" applyFont="1" applyFill="1" applyAlignment="1">
      <alignment horizontal="center" vertical="top"/>
    </xf>
    <xf numFmtId="0" fontId="26" fillId="5" borderId="3" xfId="0" applyFont="1" applyFill="1" applyBorder="1" applyAlignment="1">
      <alignment horizontal="left" vertical="top"/>
    </xf>
    <xf numFmtId="0" fontId="27" fillId="5" borderId="10" xfId="0" applyFont="1" applyFill="1" applyBorder="1" applyAlignment="1">
      <alignment vertical="top"/>
    </xf>
    <xf numFmtId="0" fontId="27" fillId="5" borderId="0" xfId="0" applyFont="1" applyFill="1" applyAlignment="1">
      <alignment vertical="top"/>
    </xf>
    <xf numFmtId="0" fontId="27" fillId="5" borderId="8" xfId="0" applyFont="1" applyFill="1" applyBorder="1" applyAlignment="1">
      <alignment vertical="top"/>
    </xf>
    <xf numFmtId="0" fontId="27" fillId="5" borderId="9" xfId="0" applyFont="1" applyFill="1" applyBorder="1" applyAlignment="1">
      <alignment vertical="top"/>
    </xf>
    <xf numFmtId="0" fontId="26" fillId="5" borderId="8" xfId="0" applyFont="1" applyFill="1" applyBorder="1" applyAlignment="1">
      <alignment vertical="top"/>
    </xf>
    <xf numFmtId="0" fontId="26" fillId="5" borderId="9" xfId="0" applyFont="1" applyFill="1" applyBorder="1" applyAlignment="1">
      <alignment vertical="top"/>
    </xf>
    <xf numFmtId="164" fontId="26" fillId="5" borderId="3" xfId="0" applyNumberFormat="1" applyFont="1" applyFill="1" applyBorder="1" applyAlignment="1">
      <alignment horizontal="center" vertical="top"/>
    </xf>
    <xf numFmtId="0" fontId="26" fillId="5" borderId="6" xfId="0" applyFont="1" applyFill="1" applyBorder="1" applyAlignment="1">
      <alignment vertical="top"/>
    </xf>
    <xf numFmtId="49" fontId="26" fillId="5" borderId="6" xfId="0" applyNumberFormat="1" applyFont="1" applyFill="1" applyBorder="1" applyAlignment="1">
      <alignment horizontal="center" vertical="top"/>
    </xf>
    <xf numFmtId="0" fontId="27" fillId="5" borderId="11" xfId="0" applyFont="1" applyFill="1" applyBorder="1" applyAlignment="1">
      <alignment vertical="top"/>
    </xf>
    <xf numFmtId="0" fontId="27" fillId="5" borderId="5" xfId="0" applyFont="1" applyFill="1" applyBorder="1" applyAlignment="1">
      <alignment vertical="top"/>
    </xf>
    <xf numFmtId="0" fontId="27" fillId="5" borderId="12" xfId="0" applyFont="1" applyFill="1" applyBorder="1" applyAlignment="1">
      <alignment vertical="top"/>
    </xf>
    <xf numFmtId="0" fontId="27" fillId="5" borderId="15" xfId="0" applyFont="1" applyFill="1" applyBorder="1" applyAlignment="1">
      <alignment vertical="top"/>
    </xf>
    <xf numFmtId="0" fontId="26" fillId="5" borderId="5" xfId="0" applyFont="1" applyFill="1" applyBorder="1" applyAlignment="1">
      <alignment horizontal="center" vertical="top"/>
    </xf>
    <xf numFmtId="0" fontId="26" fillId="5" borderId="12" xfId="0" applyFont="1" applyFill="1" applyBorder="1" applyAlignment="1">
      <alignment horizontal="center" vertical="top"/>
    </xf>
    <xf numFmtId="0" fontId="26" fillId="5" borderId="11" xfId="0" applyFont="1" applyFill="1" applyBorder="1" applyAlignment="1">
      <alignment horizontal="center" vertical="top"/>
    </xf>
    <xf numFmtId="0" fontId="28" fillId="5" borderId="3" xfId="0" applyFont="1" applyFill="1" applyBorder="1" applyAlignment="1">
      <alignment vertical="center"/>
    </xf>
    <xf numFmtId="49" fontId="28" fillId="5" borderId="3" xfId="0" applyNumberFormat="1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vertical="center"/>
    </xf>
    <xf numFmtId="0" fontId="28" fillId="5" borderId="3" xfId="0" applyFont="1" applyFill="1" applyBorder="1" applyAlignment="1">
      <alignment horizontal="center" vertical="center"/>
    </xf>
    <xf numFmtId="0" fontId="28" fillId="5" borderId="5" xfId="0" applyFont="1" applyFill="1" applyBorder="1" applyAlignment="1">
      <alignment vertical="center"/>
    </xf>
    <xf numFmtId="49" fontId="28" fillId="5" borderId="5" xfId="0" applyNumberFormat="1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vertical="center"/>
    </xf>
    <xf numFmtId="0" fontId="28" fillId="5" borderId="5" xfId="0" applyFont="1" applyFill="1" applyBorder="1" applyAlignment="1">
      <alignment horizontal="center" vertical="center"/>
    </xf>
    <xf numFmtId="0" fontId="28" fillId="5" borderId="3" xfId="0" applyFont="1" applyFill="1" applyBorder="1" applyAlignment="1">
      <alignment horizontal="left" vertical="center"/>
    </xf>
    <xf numFmtId="49" fontId="35" fillId="5" borderId="1" xfId="0" applyNumberFormat="1" applyFont="1" applyFill="1" applyBorder="1" applyAlignment="1">
      <alignment horizontal="center" vertical="top"/>
    </xf>
    <xf numFmtId="49" fontId="35" fillId="5" borderId="1" xfId="0" applyNumberFormat="1" applyFont="1" applyFill="1" applyBorder="1" applyAlignment="1">
      <alignment horizontal="center" vertical="top" wrapText="1"/>
    </xf>
    <xf numFmtId="0" fontId="35" fillId="5" borderId="7" xfId="0" applyFont="1" applyFill="1" applyBorder="1" applyAlignment="1">
      <alignment horizontal="center" vertical="top"/>
    </xf>
    <xf numFmtId="0" fontId="35" fillId="5" borderId="1" xfId="0" applyFont="1" applyFill="1" applyBorder="1" applyAlignment="1">
      <alignment horizontal="center" vertical="top"/>
    </xf>
    <xf numFmtId="1" fontId="35" fillId="5" borderId="1" xfId="0" applyNumberFormat="1" applyFont="1" applyFill="1" applyBorder="1" applyAlignment="1">
      <alignment horizontal="center" vertical="top"/>
    </xf>
    <xf numFmtId="0" fontId="35" fillId="5" borderId="1" xfId="0" applyFont="1" applyFill="1" applyBorder="1" applyAlignment="1">
      <alignment horizontal="left" vertical="top" wrapText="1"/>
    </xf>
    <xf numFmtId="49" fontId="35" fillId="5" borderId="9" xfId="0" applyNumberFormat="1" applyFont="1" applyFill="1" applyBorder="1" applyAlignment="1">
      <alignment horizontal="center" vertical="top"/>
    </xf>
    <xf numFmtId="0" fontId="40" fillId="5" borderId="9" xfId="0" applyFont="1" applyFill="1" applyBorder="1"/>
    <xf numFmtId="0" fontId="40" fillId="5" borderId="5" xfId="0" applyFont="1" applyFill="1" applyBorder="1"/>
    <xf numFmtId="0" fontId="35" fillId="5" borderId="12" xfId="0" applyFont="1" applyFill="1" applyBorder="1" applyAlignment="1">
      <alignment horizontal="center" vertical="top"/>
    </xf>
    <xf numFmtId="0" fontId="35" fillId="5" borderId="5" xfId="0" applyFont="1" applyFill="1" applyBorder="1" applyAlignment="1">
      <alignment horizontal="center" vertical="top"/>
    </xf>
    <xf numFmtId="1" fontId="35" fillId="5" borderId="5" xfId="0" applyNumberFormat="1" applyFont="1" applyFill="1" applyBorder="1" applyAlignment="1">
      <alignment horizontal="center" vertical="top"/>
    </xf>
    <xf numFmtId="0" fontId="35" fillId="5" borderId="5" xfId="0" applyFont="1" applyFill="1" applyBorder="1" applyAlignment="1">
      <alignment horizontal="left" vertical="top"/>
    </xf>
    <xf numFmtId="49" fontId="35" fillId="5" borderId="5" xfId="0" applyNumberFormat="1" applyFont="1" applyFill="1" applyBorder="1" applyAlignment="1">
      <alignment horizontal="center" vertical="top"/>
    </xf>
    <xf numFmtId="0" fontId="67" fillId="5" borderId="0" xfId="0" applyFont="1" applyFill="1"/>
    <xf numFmtId="0" fontId="41" fillId="5" borderId="0" xfId="0" applyFont="1" applyFill="1"/>
    <xf numFmtId="0" fontId="37" fillId="5" borderId="1" xfId="0" applyFont="1" applyFill="1" applyBorder="1" applyAlignment="1">
      <alignment horizontal="left" vertical="top" wrapText="1"/>
    </xf>
    <xf numFmtId="49" fontId="37" fillId="5" borderId="1" xfId="0" applyNumberFormat="1" applyFont="1" applyFill="1" applyBorder="1" applyAlignment="1">
      <alignment horizontal="center" vertical="top"/>
    </xf>
    <xf numFmtId="0" fontId="40" fillId="5" borderId="1" xfId="0" applyFont="1" applyFill="1" applyBorder="1"/>
    <xf numFmtId="0" fontId="37" fillId="5" borderId="1" xfId="0" applyFont="1" applyFill="1" applyBorder="1" applyAlignment="1">
      <alignment horizontal="center" vertical="center"/>
    </xf>
    <xf numFmtId="0" fontId="37" fillId="5" borderId="0" xfId="0" applyFont="1" applyFill="1" applyAlignment="1">
      <alignment horizontal="center" vertical="center"/>
    </xf>
    <xf numFmtId="0" fontId="37" fillId="5" borderId="9" xfId="0" applyFont="1" applyFill="1" applyBorder="1" applyAlignment="1">
      <alignment horizontal="left" vertical="top" wrapText="1"/>
    </xf>
    <xf numFmtId="49" fontId="37" fillId="5" borderId="9" xfId="0" applyNumberFormat="1" applyFont="1" applyFill="1" applyBorder="1" applyAlignment="1">
      <alignment horizontal="center" vertical="top"/>
    </xf>
    <xf numFmtId="0" fontId="37" fillId="5" borderId="9" xfId="0" applyFont="1" applyFill="1" applyBorder="1" applyAlignment="1">
      <alignment horizontal="center" vertical="center"/>
    </xf>
    <xf numFmtId="0" fontId="37" fillId="5" borderId="5" xfId="0" applyFont="1" applyFill="1" applyBorder="1" applyAlignment="1">
      <alignment horizontal="left" vertical="top"/>
    </xf>
    <xf numFmtId="49" fontId="37" fillId="5" borderId="5" xfId="0" applyNumberFormat="1" applyFont="1" applyFill="1" applyBorder="1" applyAlignment="1">
      <alignment horizontal="center" vertical="top"/>
    </xf>
    <xf numFmtId="0" fontId="37" fillId="5" borderId="5" xfId="0" applyFont="1" applyFill="1" applyBorder="1" applyAlignment="1">
      <alignment horizontal="center" vertical="center"/>
    </xf>
    <xf numFmtId="49" fontId="47" fillId="5" borderId="3" xfId="0" applyNumberFormat="1" applyFont="1" applyFill="1" applyBorder="1" applyAlignment="1">
      <alignment horizontal="center" vertical="center"/>
    </xf>
    <xf numFmtId="0" fontId="47" fillId="5" borderId="3" xfId="0" applyFont="1" applyFill="1" applyBorder="1" applyAlignment="1">
      <alignment horizontal="center" vertical="center"/>
    </xf>
    <xf numFmtId="0" fontId="47" fillId="5" borderId="13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/>
    </xf>
    <xf numFmtId="0" fontId="71" fillId="5" borderId="0" xfId="0" applyFont="1" applyFill="1" applyAlignment="1">
      <alignment horizontal="center" vertical="center"/>
    </xf>
    <xf numFmtId="168" fontId="99" fillId="5" borderId="3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textRotation="90" wrapText="1"/>
    </xf>
    <xf numFmtId="0" fontId="6" fillId="5" borderId="1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98" fillId="10" borderId="0" xfId="0" applyFont="1" applyFill="1" applyAlignment="1">
      <alignment wrapText="1"/>
    </xf>
    <xf numFmtId="0" fontId="98" fillId="10" borderId="0" xfId="0" applyFont="1" applyFill="1" applyAlignment="1">
      <alignment horizontal="center"/>
    </xf>
    <xf numFmtId="0" fontId="97" fillId="10" borderId="3" xfId="0" applyFont="1" applyFill="1" applyBorder="1" applyAlignment="1">
      <alignment horizontal="center" vertical="center"/>
    </xf>
    <xf numFmtId="0" fontId="98" fillId="10" borderId="3" xfId="0" applyFont="1" applyFill="1" applyBorder="1" applyAlignment="1">
      <alignment wrapText="1"/>
    </xf>
    <xf numFmtId="0" fontId="98" fillId="10" borderId="3" xfId="0" applyFont="1" applyFill="1" applyBorder="1" applyAlignment="1">
      <alignment horizontal="center"/>
    </xf>
    <xf numFmtId="0" fontId="98" fillId="10" borderId="3" xfId="0" applyFont="1" applyFill="1" applyBorder="1" applyAlignment="1">
      <alignment vertical="center" wrapText="1"/>
    </xf>
    <xf numFmtId="0" fontId="98" fillId="10" borderId="3" xfId="0" applyFont="1" applyFill="1" applyBorder="1" applyAlignment="1">
      <alignment horizontal="center" vertical="center"/>
    </xf>
    <xf numFmtId="0" fontId="98" fillId="10" borderId="3" xfId="0" applyFont="1" applyFill="1" applyBorder="1" applyAlignment="1" applyProtection="1">
      <alignment wrapText="1"/>
      <protection hidden="1"/>
    </xf>
    <xf numFmtId="0" fontId="98" fillId="10" borderId="3" xfId="0" applyFont="1" applyFill="1" applyBorder="1" applyAlignment="1" applyProtection="1">
      <alignment horizontal="center"/>
      <protection hidden="1"/>
    </xf>
    <xf numFmtId="0" fontId="98" fillId="10" borderId="3" xfId="0" applyFont="1" applyFill="1" applyBorder="1" applyAlignment="1">
      <alignment horizontal="center" vertical="center" wrapText="1"/>
    </xf>
    <xf numFmtId="0" fontId="98" fillId="10" borderId="5" xfId="0" applyFont="1" applyFill="1" applyBorder="1" applyAlignment="1">
      <alignment wrapText="1"/>
    </xf>
    <xf numFmtId="0" fontId="98" fillId="10" borderId="5" xfId="0" applyFont="1" applyFill="1" applyBorder="1" applyAlignment="1">
      <alignment horizontal="center" wrapText="1"/>
    </xf>
    <xf numFmtId="0" fontId="97" fillId="10" borderId="9" xfId="0" applyFont="1" applyFill="1" applyBorder="1" applyAlignment="1">
      <alignment wrapText="1"/>
    </xf>
    <xf numFmtId="0" fontId="97" fillId="10" borderId="8" xfId="0" applyFont="1" applyFill="1" applyBorder="1" applyAlignment="1">
      <alignment horizontal="center" wrapText="1"/>
    </xf>
    <xf numFmtId="0" fontId="97" fillId="10" borderId="3" xfId="0" applyFont="1" applyFill="1" applyBorder="1" applyAlignment="1">
      <alignment horizontal="center"/>
    </xf>
    <xf numFmtId="0" fontId="98" fillId="10" borderId="4" xfId="0" applyFont="1" applyFill="1" applyBorder="1" applyAlignment="1">
      <alignment vertical="center" wrapText="1"/>
    </xf>
    <xf numFmtId="49" fontId="6" fillId="0" borderId="5" xfId="0" applyNumberFormat="1" applyFont="1" applyBorder="1" applyAlignment="1">
      <alignment horizontal="center" vertical="center" textRotation="90" wrapText="1"/>
    </xf>
    <xf numFmtId="0" fontId="6" fillId="0" borderId="0" xfId="0" applyFont="1" applyAlignment="1">
      <alignment horizontal="center" vertical="center" textRotation="90" wrapText="1"/>
    </xf>
    <xf numFmtId="49" fontId="17" fillId="0" borderId="0" xfId="0" applyNumberFormat="1" applyFont="1" applyAlignment="1">
      <alignment horizontal="center"/>
    </xf>
    <xf numFmtId="0" fontId="104" fillId="0" borderId="1" xfId="0" applyFont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top"/>
    </xf>
    <xf numFmtId="0" fontId="2" fillId="7" borderId="3" xfId="0" applyFont="1" applyFill="1" applyBorder="1" applyAlignment="1">
      <alignment vertical="center"/>
    </xf>
    <xf numFmtId="0" fontId="2" fillId="4" borderId="0" xfId="0" applyFont="1" applyFill="1"/>
    <xf numFmtId="0" fontId="0" fillId="5" borderId="0" xfId="0" applyFill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33" fillId="5" borderId="0" xfId="0" applyFont="1" applyFill="1" applyProtection="1">
      <protection hidden="1"/>
    </xf>
    <xf numFmtId="0" fontId="35" fillId="5" borderId="0" xfId="0" applyFont="1" applyFill="1" applyProtection="1">
      <protection hidden="1"/>
    </xf>
    <xf numFmtId="0" fontId="6" fillId="5" borderId="0" xfId="0" applyFont="1" applyFill="1" applyProtection="1">
      <protection hidden="1"/>
    </xf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02" fillId="3" borderId="0" xfId="0" applyFont="1" applyFill="1" applyAlignment="1">
      <alignment horizontal="center" vertical="center"/>
    </xf>
    <xf numFmtId="0" fontId="102" fillId="2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13" fillId="0" borderId="0" xfId="0" applyFont="1"/>
    <xf numFmtId="0" fontId="2" fillId="0" borderId="0" xfId="0" applyFont="1"/>
    <xf numFmtId="49" fontId="6" fillId="5" borderId="6" xfId="0" applyNumberFormat="1" applyFont="1" applyFill="1" applyBorder="1" applyAlignment="1">
      <alignment horizontal="center" vertical="top"/>
    </xf>
    <xf numFmtId="0" fontId="6" fillId="5" borderId="1" xfId="0" applyFont="1" applyFill="1" applyBorder="1" applyAlignment="1">
      <alignment horizontal="left" vertical="top" wrapText="1"/>
    </xf>
    <xf numFmtId="0" fontId="6" fillId="5" borderId="7" xfId="0" applyFont="1" applyFill="1" applyBorder="1" applyAlignment="1">
      <alignment horizontal="left" vertical="top" wrapText="1"/>
    </xf>
    <xf numFmtId="0" fontId="6" fillId="5" borderId="7" xfId="0" applyFont="1" applyFill="1" applyBorder="1" applyAlignment="1">
      <alignment horizontal="center" vertical="top"/>
    </xf>
    <xf numFmtId="0" fontId="6" fillId="5" borderId="1" xfId="0" applyFont="1" applyFill="1" applyBorder="1" applyAlignment="1">
      <alignment horizontal="center" vertical="top"/>
    </xf>
    <xf numFmtId="0" fontId="6" fillId="5" borderId="1" xfId="0" applyFont="1" applyFill="1" applyBorder="1" applyAlignment="1">
      <alignment horizontal="left" vertical="top"/>
    </xf>
    <xf numFmtId="49" fontId="6" fillId="5" borderId="8" xfId="0" applyNumberFormat="1" applyFont="1" applyFill="1" applyBorder="1" applyAlignment="1">
      <alignment horizontal="center" vertical="top"/>
    </xf>
    <xf numFmtId="0" fontId="6" fillId="5" borderId="9" xfId="0" applyFont="1" applyFill="1" applyBorder="1" applyAlignment="1">
      <alignment horizontal="left" vertical="top" wrapText="1"/>
    </xf>
    <xf numFmtId="0" fontId="6" fillId="5" borderId="12" xfId="0" applyFont="1" applyFill="1" applyBorder="1" applyAlignment="1">
      <alignment horizontal="left" vertical="top" wrapText="1"/>
    </xf>
    <xf numFmtId="0" fontId="6" fillId="5" borderId="12" xfId="0" applyFont="1" applyFill="1" applyBorder="1" applyAlignment="1">
      <alignment horizontal="center" vertical="top"/>
    </xf>
    <xf numFmtId="0" fontId="6" fillId="5" borderId="5" xfId="0" applyFont="1" applyFill="1" applyBorder="1" applyAlignment="1">
      <alignment horizontal="center" vertical="top"/>
    </xf>
    <xf numFmtId="0" fontId="6" fillId="5" borderId="5" xfId="0" applyFont="1" applyFill="1" applyBorder="1" applyAlignment="1">
      <alignment horizontal="left" vertical="top"/>
    </xf>
    <xf numFmtId="49" fontId="6" fillId="5" borderId="5" xfId="0" applyNumberFormat="1" applyFont="1" applyFill="1" applyBorder="1" applyAlignment="1">
      <alignment horizontal="center" vertical="top"/>
    </xf>
    <xf numFmtId="0" fontId="6" fillId="5" borderId="10" xfId="0" applyFont="1" applyFill="1" applyBorder="1" applyAlignment="1">
      <alignment horizontal="center" vertical="top" wrapText="1"/>
    </xf>
    <xf numFmtId="0" fontId="6" fillId="5" borderId="10" xfId="0" applyFont="1" applyFill="1" applyBorder="1" applyAlignment="1">
      <alignment horizontal="center" vertical="top"/>
    </xf>
    <xf numFmtId="0" fontId="6" fillId="5" borderId="9" xfId="0" applyFont="1" applyFill="1" applyBorder="1" applyAlignment="1">
      <alignment horizontal="center" vertical="top"/>
    </xf>
    <xf numFmtId="0" fontId="12" fillId="5" borderId="1" xfId="0" applyFont="1" applyFill="1" applyBorder="1" applyAlignment="1">
      <alignment horizontal="left" vertical="top"/>
    </xf>
    <xf numFmtId="0" fontId="12" fillId="5" borderId="1" xfId="0" applyFont="1" applyFill="1" applyBorder="1" applyAlignment="1">
      <alignment horizontal="center" vertical="top"/>
    </xf>
    <xf numFmtId="0" fontId="6" fillId="5" borderId="7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left" vertical="top"/>
    </xf>
    <xf numFmtId="49" fontId="12" fillId="5" borderId="5" xfId="0" applyNumberFormat="1" applyFont="1" applyFill="1" applyBorder="1" applyAlignment="1">
      <alignment horizontal="center" vertical="top"/>
    </xf>
    <xf numFmtId="0" fontId="6" fillId="5" borderId="12" xfId="0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top" wrapText="1"/>
    </xf>
    <xf numFmtId="0" fontId="6" fillId="5" borderId="6" xfId="0" applyFont="1" applyFill="1" applyBorder="1" applyAlignment="1">
      <alignment horizontal="center" vertical="top"/>
    </xf>
    <xf numFmtId="0" fontId="6" fillId="5" borderId="9" xfId="0" applyFont="1" applyFill="1" applyBorder="1" applyAlignment="1">
      <alignment horizontal="left" vertical="top"/>
    </xf>
    <xf numFmtId="49" fontId="6" fillId="5" borderId="9" xfId="0" applyNumberFormat="1" applyFont="1" applyFill="1" applyBorder="1" applyAlignment="1">
      <alignment horizontal="center" vertical="top"/>
    </xf>
    <xf numFmtId="0" fontId="6" fillId="5" borderId="8" xfId="0" applyFont="1" applyFill="1" applyBorder="1" applyAlignment="1">
      <alignment horizontal="center" vertical="top"/>
    </xf>
    <xf numFmtId="49" fontId="7" fillId="5" borderId="8" xfId="0" applyNumberFormat="1" applyFont="1" applyFill="1" applyBorder="1" applyAlignment="1">
      <alignment horizontal="center" vertical="top"/>
    </xf>
    <xf numFmtId="0" fontId="7" fillId="5" borderId="8" xfId="0" applyFont="1" applyFill="1" applyBorder="1"/>
    <xf numFmtId="0" fontId="6" fillId="5" borderId="1" xfId="0" applyFont="1" applyFill="1" applyBorder="1"/>
    <xf numFmtId="0" fontId="7" fillId="5" borderId="9" xfId="0" applyFont="1" applyFill="1" applyBorder="1"/>
    <xf numFmtId="0" fontId="7" fillId="5" borderId="5" xfId="0" applyFont="1" applyFill="1" applyBorder="1"/>
    <xf numFmtId="0" fontId="6" fillId="5" borderId="8" xfId="0" applyFont="1" applyFill="1" applyBorder="1"/>
    <xf numFmtId="0" fontId="6" fillId="5" borderId="9" xfId="0" applyFont="1" applyFill="1" applyBorder="1"/>
    <xf numFmtId="0" fontId="6" fillId="5" borderId="5" xfId="0" applyFont="1" applyFill="1" applyBorder="1"/>
    <xf numFmtId="49" fontId="6" fillId="5" borderId="1" xfId="0" applyNumberFormat="1" applyFont="1" applyFill="1" applyBorder="1" applyAlignment="1">
      <alignment horizontal="center" vertical="top"/>
    </xf>
    <xf numFmtId="165" fontId="6" fillId="5" borderId="0" xfId="0" applyNumberFormat="1" applyFont="1" applyFill="1"/>
    <xf numFmtId="0" fontId="12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7" fillId="3" borderId="0" xfId="0" applyFont="1" applyFill="1" applyAlignment="1">
      <alignment horizontal="center"/>
    </xf>
    <xf numFmtId="0" fontId="37" fillId="2" borderId="0" xfId="0" applyFont="1" applyFill="1" applyAlignment="1">
      <alignment horizontal="center" vertical="center" wrapText="1"/>
    </xf>
    <xf numFmtId="0" fontId="35" fillId="5" borderId="0" xfId="0" applyFont="1" applyFill="1" applyAlignment="1">
      <alignment horizontal="center" vertical="top"/>
    </xf>
    <xf numFmtId="0" fontId="2" fillId="0" borderId="0" xfId="0" applyFont="1" applyAlignment="1">
      <alignment wrapText="1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72" fillId="5" borderId="0" xfId="0" applyFont="1" applyFill="1" applyAlignment="1">
      <alignment horizontal="center" vertical="top" wrapText="1"/>
    </xf>
    <xf numFmtId="0" fontId="66" fillId="5" borderId="0" xfId="0" applyFont="1" applyFill="1" applyAlignment="1">
      <alignment horizontal="center" vertical="top" wrapText="1"/>
    </xf>
    <xf numFmtId="0" fontId="49" fillId="5" borderId="0" xfId="0" applyFont="1" applyFill="1" applyAlignment="1">
      <alignment horizontal="center" vertical="top" wrapText="1"/>
    </xf>
    <xf numFmtId="0" fontId="3" fillId="5" borderId="3" xfId="0" applyFont="1" applyFill="1" applyBorder="1" applyAlignment="1">
      <alignment horizontal="center" vertical="top" wrapText="1"/>
    </xf>
    <xf numFmtId="0" fontId="0" fillId="5" borderId="0" xfId="0" applyFill="1" applyAlignment="1">
      <alignment horizontal="center" vertical="top" wrapText="1"/>
    </xf>
    <xf numFmtId="0" fontId="33" fillId="5" borderId="0" xfId="0" applyFont="1" applyFill="1" applyAlignment="1">
      <alignment horizontal="center" vertical="top" wrapText="1"/>
    </xf>
    <xf numFmtId="0" fontId="6" fillId="5" borderId="3" xfId="0" applyFont="1" applyFill="1" applyBorder="1" applyAlignment="1">
      <alignment horizontal="center" vertical="center" textRotation="90" wrapText="1"/>
    </xf>
    <xf numFmtId="0" fontId="0" fillId="5" borderId="0" xfId="0" applyFill="1" applyAlignment="1">
      <alignment horizontal="center" vertical="top"/>
    </xf>
    <xf numFmtId="0" fontId="86" fillId="0" borderId="0" xfId="0" applyFont="1"/>
    <xf numFmtId="0" fontId="62" fillId="5" borderId="0" xfId="0" applyFont="1" applyFill="1"/>
    <xf numFmtId="0" fontId="24" fillId="5" borderId="3" xfId="0" applyFont="1" applyFill="1" applyBorder="1" applyProtection="1">
      <protection hidden="1"/>
    </xf>
    <xf numFmtId="49" fontId="24" fillId="5" borderId="3" xfId="0" applyNumberFormat="1" applyFont="1" applyFill="1" applyBorder="1" applyAlignment="1" applyProtection="1">
      <alignment horizontal="center"/>
      <protection hidden="1"/>
    </xf>
    <xf numFmtId="0" fontId="24" fillId="5" borderId="3" xfId="0" applyFont="1" applyFill="1" applyBorder="1" applyAlignment="1">
      <alignment horizontal="center"/>
    </xf>
    <xf numFmtId="0" fontId="33" fillId="5" borderId="0" xfId="0" applyFont="1" applyFill="1" applyAlignment="1">
      <alignment horizontal="left" vertical="center"/>
    </xf>
    <xf numFmtId="0" fontId="33" fillId="5" borderId="0" xfId="0" applyFont="1" applyFill="1" applyAlignment="1">
      <alignment horizontal="center"/>
    </xf>
    <xf numFmtId="0" fontId="35" fillId="5" borderId="0" xfId="0" applyFont="1" applyFill="1" applyAlignment="1">
      <alignment vertical="center"/>
    </xf>
    <xf numFmtId="0" fontId="33" fillId="5" borderId="0" xfId="0" applyFont="1" applyFill="1" applyAlignment="1">
      <alignment vertical="center" wrapText="1"/>
    </xf>
    <xf numFmtId="0" fontId="4" fillId="5" borderId="3" xfId="0" applyFont="1" applyFill="1" applyBorder="1" applyProtection="1">
      <protection hidden="1"/>
    </xf>
    <xf numFmtId="49" fontId="4" fillId="5" borderId="3" xfId="0" applyNumberFormat="1" applyFont="1" applyFill="1" applyBorder="1" applyAlignment="1" applyProtection="1">
      <alignment horizontal="center"/>
      <protection hidden="1"/>
    </xf>
    <xf numFmtId="0" fontId="4" fillId="5" borderId="3" xfId="0" applyFont="1" applyFill="1" applyBorder="1" applyAlignment="1">
      <alignment horizontal="center"/>
    </xf>
    <xf numFmtId="0" fontId="21" fillId="5" borderId="3" xfId="0" applyFont="1" applyFill="1" applyBorder="1" applyProtection="1">
      <protection hidden="1"/>
    </xf>
    <xf numFmtId="49" fontId="21" fillId="5" borderId="3" xfId="0" applyNumberFormat="1" applyFont="1" applyFill="1" applyBorder="1" applyAlignment="1" applyProtection="1">
      <alignment horizontal="center"/>
      <protection hidden="1"/>
    </xf>
    <xf numFmtId="0" fontId="21" fillId="5" borderId="3" xfId="0" applyFont="1" applyFill="1" applyBorder="1" applyAlignment="1">
      <alignment horizontal="center"/>
    </xf>
    <xf numFmtId="0" fontId="17" fillId="5" borderId="3" xfId="0" applyFont="1" applyFill="1" applyBorder="1" applyProtection="1">
      <protection hidden="1"/>
    </xf>
    <xf numFmtId="49" fontId="17" fillId="5" borderId="3" xfId="0" applyNumberFormat="1" applyFont="1" applyFill="1" applyBorder="1" applyAlignment="1" applyProtection="1">
      <alignment horizontal="center"/>
      <protection hidden="1"/>
    </xf>
    <xf numFmtId="0" fontId="17" fillId="5" borderId="3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 vertical="top" wrapText="1"/>
    </xf>
    <xf numFmtId="0" fontId="3" fillId="5" borderId="5" xfId="0" applyFont="1" applyFill="1" applyBorder="1" applyAlignment="1">
      <alignment horizontal="center" vertical="top" wrapText="1"/>
    </xf>
    <xf numFmtId="0" fontId="18" fillId="0" borderId="14" xfId="0" applyFont="1" applyBorder="1" applyAlignment="1">
      <alignment horizontal="center" vertical="top"/>
    </xf>
    <xf numFmtId="1" fontId="18" fillId="0" borderId="1" xfId="0" applyNumberFormat="1" applyFont="1" applyBorder="1" applyAlignment="1">
      <alignment horizontal="center" vertical="top"/>
    </xf>
    <xf numFmtId="0" fontId="18" fillId="0" borderId="2" xfId="0" applyFont="1" applyBorder="1" applyAlignment="1">
      <alignment horizontal="center" vertical="top"/>
    </xf>
    <xf numFmtId="0" fontId="18" fillId="0" borderId="3" xfId="0" applyFont="1" applyBorder="1" applyAlignment="1">
      <alignment vertical="top"/>
    </xf>
    <xf numFmtId="49" fontId="18" fillId="0" borderId="3" xfId="0" applyNumberFormat="1" applyFont="1" applyBorder="1" applyAlignment="1">
      <alignment horizontal="center" vertical="top"/>
    </xf>
    <xf numFmtId="0" fontId="18" fillId="0" borderId="0" xfId="0" applyFont="1" applyAlignment="1">
      <alignment horizontal="center" vertical="top"/>
    </xf>
    <xf numFmtId="0" fontId="18" fillId="0" borderId="3" xfId="0" applyFont="1" applyBorder="1" applyAlignment="1">
      <alignment horizontal="left" vertical="top"/>
    </xf>
    <xf numFmtId="0" fontId="20" fillId="0" borderId="10" xfId="0" applyFont="1" applyBorder="1" applyAlignment="1">
      <alignment vertical="top"/>
    </xf>
    <xf numFmtId="0" fontId="20" fillId="0" borderId="8" xfId="0" applyFont="1" applyBorder="1" applyAlignment="1">
      <alignment vertical="top"/>
    </xf>
    <xf numFmtId="0" fontId="20" fillId="0" borderId="9" xfId="0" applyFont="1" applyBorder="1" applyAlignment="1">
      <alignment vertical="top"/>
    </xf>
    <xf numFmtId="0" fontId="18" fillId="0" borderId="8" xfId="0" applyFont="1" applyBorder="1" applyAlignment="1">
      <alignment vertical="top"/>
    </xf>
    <xf numFmtId="0" fontId="18" fillId="0" borderId="9" xfId="0" applyFont="1" applyBorder="1" applyAlignment="1">
      <alignment vertical="top"/>
    </xf>
    <xf numFmtId="164" fontId="18" fillId="0" borderId="3" xfId="0" applyNumberFormat="1" applyFont="1" applyBorder="1" applyAlignment="1">
      <alignment horizontal="center" vertical="top"/>
    </xf>
    <xf numFmtId="0" fontId="18" fillId="0" borderId="6" xfId="0" applyFont="1" applyBorder="1" applyAlignment="1">
      <alignment vertical="top"/>
    </xf>
    <xf numFmtId="49" fontId="18" fillId="0" borderId="6" xfId="0" applyNumberFormat="1" applyFont="1" applyBorder="1" applyAlignment="1">
      <alignment horizontal="center" vertical="top"/>
    </xf>
    <xf numFmtId="0" fontId="20" fillId="0" borderId="11" xfId="0" applyFont="1" applyBorder="1" applyAlignment="1">
      <alignment vertical="top"/>
    </xf>
    <xf numFmtId="0" fontId="20" fillId="0" borderId="5" xfId="0" applyFont="1" applyBorder="1" applyAlignment="1">
      <alignment vertical="top"/>
    </xf>
    <xf numFmtId="0" fontId="20" fillId="0" borderId="12" xfId="0" applyFont="1" applyBorder="1" applyAlignment="1">
      <alignment vertical="top"/>
    </xf>
    <xf numFmtId="0" fontId="20" fillId="0" borderId="15" xfId="0" applyFont="1" applyBorder="1" applyAlignment="1">
      <alignment vertical="top"/>
    </xf>
    <xf numFmtId="0" fontId="26" fillId="5" borderId="11" xfId="0" applyFont="1" applyFill="1" applyBorder="1" applyAlignment="1">
      <alignment vertical="top"/>
    </xf>
    <xf numFmtId="0" fontId="26" fillId="5" borderId="5" xfId="0" applyFont="1" applyFill="1" applyBorder="1" applyAlignment="1">
      <alignment vertical="top"/>
    </xf>
    <xf numFmtId="0" fontId="26" fillId="0" borderId="9" xfId="0" applyFont="1" applyBorder="1" applyAlignment="1">
      <alignment horizontal="center" vertical="top" shrinkToFit="1"/>
    </xf>
    <xf numFmtId="0" fontId="26" fillId="0" borderId="2" xfId="0" applyFont="1" applyBorder="1" applyAlignment="1">
      <alignment horizontal="center" vertical="top" wrapText="1"/>
    </xf>
    <xf numFmtId="0" fontId="26" fillId="0" borderId="4" xfId="0" applyFont="1" applyBorder="1" applyAlignment="1">
      <alignment horizontal="center" vertical="top"/>
    </xf>
    <xf numFmtId="1" fontId="26" fillId="0" borderId="3" xfId="0" applyNumberFormat="1" applyFont="1" applyBorder="1" applyAlignment="1">
      <alignment horizontal="center" vertical="top"/>
    </xf>
    <xf numFmtId="0" fontId="26" fillId="0" borderId="4" xfId="0" applyFont="1" applyBorder="1" applyAlignment="1">
      <alignment vertical="top"/>
    </xf>
    <xf numFmtId="49" fontId="26" fillId="0" borderId="4" xfId="0" applyNumberFormat="1" applyFont="1" applyBorder="1" applyAlignment="1">
      <alignment horizontal="center" vertical="top"/>
    </xf>
    <xf numFmtId="0" fontId="28" fillId="5" borderId="4" xfId="0" applyFont="1" applyFill="1" applyBorder="1" applyAlignment="1">
      <alignment vertical="center"/>
    </xf>
    <xf numFmtId="49" fontId="28" fillId="5" borderId="4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0" fontId="32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0" fillId="0" borderId="0" xfId="0"/>
    <xf numFmtId="0" fontId="90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0" fontId="91" fillId="0" borderId="0" xfId="0" applyFont="1" applyAlignment="1">
      <alignment horizontal="center" wrapText="1"/>
    </xf>
    <xf numFmtId="49" fontId="33" fillId="0" borderId="0" xfId="0" applyNumberFormat="1" applyFont="1" applyAlignment="1">
      <alignment horizontal="left" vertical="center" wrapText="1"/>
    </xf>
    <xf numFmtId="49" fontId="33" fillId="5" borderId="0" xfId="0" applyNumberFormat="1" applyFont="1" applyFill="1" applyAlignment="1">
      <alignment horizontal="left" vertical="center" wrapText="1"/>
    </xf>
    <xf numFmtId="49" fontId="85" fillId="0" borderId="0" xfId="0" applyNumberFormat="1" applyFont="1" applyAlignment="1">
      <alignment horizontal="left" vertical="center" wrapText="1"/>
    </xf>
    <xf numFmtId="49" fontId="34" fillId="0" borderId="0" xfId="0" applyNumberFormat="1" applyFont="1" applyAlignment="1">
      <alignment horizontal="left" vertical="center" wrapText="1"/>
    </xf>
    <xf numFmtId="49" fontId="85" fillId="5" borderId="0" xfId="0" applyNumberFormat="1" applyFont="1" applyFill="1" applyAlignment="1">
      <alignment horizontal="left" vertical="center" wrapText="1"/>
    </xf>
    <xf numFmtId="49" fontId="34" fillId="5" borderId="0" xfId="0" applyNumberFormat="1" applyFont="1" applyFill="1" applyAlignment="1">
      <alignment horizontal="left" vertical="center" wrapText="1"/>
    </xf>
    <xf numFmtId="49" fontId="33" fillId="0" borderId="0" xfId="0" applyNumberFormat="1" applyFont="1" applyAlignment="1">
      <alignment horizontal="left" vertical="top" wrapText="1"/>
    </xf>
    <xf numFmtId="49" fontId="33" fillId="0" borderId="0" xfId="0" applyNumberFormat="1" applyFont="1" applyAlignment="1">
      <alignment vertical="top" wrapText="1"/>
    </xf>
    <xf numFmtId="49" fontId="32" fillId="0" borderId="0" xfId="0" applyNumberFormat="1" applyFont="1" applyAlignment="1">
      <alignment horizontal="center" vertical="center" wrapText="1"/>
    </xf>
    <xf numFmtId="49" fontId="32" fillId="0" borderId="0" xfId="0" applyNumberFormat="1" applyFont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horizontal="center" vertical="center" wrapText="1"/>
    </xf>
    <xf numFmtId="0" fontId="97" fillId="5" borderId="6" xfId="0" applyFont="1" applyFill="1" applyBorder="1" applyAlignment="1">
      <alignment horizontal="center" vertical="center" textRotation="90" wrapText="1"/>
    </xf>
    <xf numFmtId="0" fontId="97" fillId="5" borderId="8" xfId="0" applyFont="1" applyFill="1" applyBorder="1" applyAlignment="1">
      <alignment horizontal="center" vertical="center" textRotation="90" wrapText="1"/>
    </xf>
    <xf numFmtId="0" fontId="98" fillId="10" borderId="15" xfId="0" applyFont="1" applyFill="1" applyBorder="1" applyAlignment="1">
      <alignment horizontal="center"/>
    </xf>
    <xf numFmtId="0" fontId="97" fillId="10" borderId="1" xfId="0" applyFont="1" applyFill="1" applyBorder="1" applyAlignment="1">
      <alignment vertical="center" wrapText="1"/>
    </xf>
    <xf numFmtId="0" fontId="97" fillId="10" borderId="5" xfId="0" applyFont="1" applyFill="1" applyBorder="1" applyAlignment="1">
      <alignment vertical="center" wrapText="1"/>
    </xf>
    <xf numFmtId="0" fontId="97" fillId="10" borderId="1" xfId="0" applyFont="1" applyFill="1" applyBorder="1" applyAlignment="1">
      <alignment horizontal="center" vertical="center"/>
    </xf>
    <xf numFmtId="0" fontId="97" fillId="10" borderId="5" xfId="0" applyFont="1" applyFill="1" applyBorder="1" applyAlignment="1">
      <alignment horizontal="center" vertical="center"/>
    </xf>
    <xf numFmtId="0" fontId="97" fillId="10" borderId="3" xfId="0" applyFont="1" applyFill="1" applyBorder="1" applyAlignment="1">
      <alignment horizontal="center" vertical="center"/>
    </xf>
    <xf numFmtId="0" fontId="97" fillId="5" borderId="0" xfId="0" applyFont="1" applyFill="1" applyAlignment="1">
      <alignment horizontal="left" wrapText="1"/>
    </xf>
    <xf numFmtId="0" fontId="97" fillId="5" borderId="0" xfId="0" applyFont="1" applyFill="1" applyAlignment="1">
      <alignment horizontal="center"/>
    </xf>
    <xf numFmtId="0" fontId="97" fillId="5" borderId="4" xfId="0" applyFont="1" applyFill="1" applyBorder="1" applyAlignment="1">
      <alignment horizontal="center" vertical="center" wrapText="1"/>
    </xf>
    <xf numFmtId="0" fontId="97" fillId="5" borderId="2" xfId="0" applyFont="1" applyFill="1" applyBorder="1" applyAlignment="1">
      <alignment horizontal="center" vertical="center" wrapText="1"/>
    </xf>
    <xf numFmtId="0" fontId="97" fillId="5" borderId="1" xfId="0" applyFont="1" applyFill="1" applyBorder="1" applyAlignment="1">
      <alignment horizontal="center" vertical="center" textRotation="90" wrapText="1"/>
    </xf>
    <xf numFmtId="0" fontId="97" fillId="5" borderId="9" xfId="0" applyFont="1" applyFill="1" applyBorder="1" applyAlignment="1">
      <alignment horizontal="center" vertical="center" textRotation="90" wrapText="1"/>
    </xf>
    <xf numFmtId="0" fontId="97" fillId="9" borderId="0" xfId="0" applyFont="1" applyFill="1" applyAlignment="1">
      <alignment horizontal="center" wrapText="1"/>
    </xf>
    <xf numFmtId="0" fontId="97" fillId="5" borderId="5" xfId="0" applyFont="1" applyFill="1" applyBorder="1" applyAlignment="1">
      <alignment horizontal="center" vertical="center" textRotation="90" wrapText="1"/>
    </xf>
    <xf numFmtId="0" fontId="98" fillId="5" borderId="15" xfId="0" applyFont="1" applyFill="1" applyBorder="1" applyAlignment="1">
      <alignment horizontal="center"/>
    </xf>
    <xf numFmtId="0" fontId="97" fillId="5" borderId="3" xfId="0" applyFont="1" applyFill="1" applyBorder="1" applyAlignment="1">
      <alignment horizontal="center" vertical="center"/>
    </xf>
    <xf numFmtId="0" fontId="97" fillId="5" borderId="1" xfId="0" applyFont="1" applyFill="1" applyBorder="1" applyAlignment="1">
      <alignment vertical="center" wrapText="1"/>
    </xf>
    <xf numFmtId="0" fontId="97" fillId="5" borderId="5" xfId="0" applyFont="1" applyFill="1" applyBorder="1" applyAlignment="1">
      <alignment vertical="center" wrapText="1"/>
    </xf>
    <xf numFmtId="0" fontId="97" fillId="5" borderId="1" xfId="0" applyFont="1" applyFill="1" applyBorder="1" applyAlignment="1">
      <alignment horizontal="center" vertical="center"/>
    </xf>
    <xf numFmtId="0" fontId="97" fillId="5" borderId="5" xfId="0" applyFont="1" applyFill="1" applyBorder="1" applyAlignment="1">
      <alignment horizontal="center" vertical="center"/>
    </xf>
    <xf numFmtId="0" fontId="97" fillId="5" borderId="0" xfId="0" applyFont="1" applyFill="1" applyAlignment="1">
      <alignment horizontal="center" vertical="center" wrapText="1"/>
    </xf>
    <xf numFmtId="0" fontId="97" fillId="5" borderId="0" xfId="0" applyFont="1" applyFill="1" applyAlignment="1">
      <alignment horizontal="center" wrapText="1"/>
    </xf>
    <xf numFmtId="0" fontId="97" fillId="5" borderId="0" xfId="0" applyFont="1" applyFill="1" applyAlignment="1">
      <alignment horizontal="center" vertical="center" textRotation="90" wrapText="1"/>
    </xf>
    <xf numFmtId="49" fontId="5" fillId="7" borderId="4" xfId="0" applyNumberFormat="1" applyFont="1" applyFill="1" applyBorder="1" applyAlignment="1">
      <alignment horizontal="center" vertical="center" wrapText="1"/>
    </xf>
    <xf numFmtId="49" fontId="5" fillId="7" borderId="13" xfId="0" applyNumberFormat="1" applyFont="1" applyFill="1" applyBorder="1" applyAlignment="1">
      <alignment horizontal="center" vertical="center" wrapText="1"/>
    </xf>
    <xf numFmtId="49" fontId="5" fillId="7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textRotation="90" wrapText="1"/>
    </xf>
    <xf numFmtId="49" fontId="6" fillId="0" borderId="5" xfId="0" applyNumberFormat="1" applyFont="1" applyBorder="1" applyAlignment="1">
      <alignment horizontal="center" vertical="center" textRotation="90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textRotation="90" wrapText="1"/>
    </xf>
    <xf numFmtId="0" fontId="6" fillId="0" borderId="5" xfId="0" applyFont="1" applyBorder="1" applyAlignment="1">
      <alignment horizontal="center" vertical="center" textRotation="90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0" fontId="33" fillId="0" borderId="0" xfId="0" applyFont="1" applyAlignment="1">
      <alignment horizontal="center" wrapText="1"/>
    </xf>
    <xf numFmtId="0" fontId="22" fillId="0" borderId="0" xfId="0" applyFont="1" applyAlignment="1">
      <alignment horizontal="left" wrapText="1"/>
    </xf>
    <xf numFmtId="0" fontId="33" fillId="0" borderId="0" xfId="0" applyFont="1" applyAlignment="1">
      <alignment horizontal="left" wrapText="1"/>
    </xf>
    <xf numFmtId="0" fontId="32" fillId="0" borderId="0" xfId="0" applyFont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5" xfId="0" applyFont="1" applyBorder="1" applyAlignment="1">
      <alignment horizontal="center" vertical="center" textRotation="90" wrapText="1"/>
    </xf>
    <xf numFmtId="0" fontId="11" fillId="0" borderId="5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3" fillId="0" borderId="15" xfId="0" applyFont="1" applyBorder="1" applyAlignment="1">
      <alignment horizontal="left" vertical="center" wrapText="1"/>
    </xf>
    <xf numFmtId="0" fontId="37" fillId="5" borderId="0" xfId="0" applyFont="1" applyFill="1" applyAlignment="1">
      <alignment horizontal="left" vertical="center" wrapText="1"/>
    </xf>
    <xf numFmtId="0" fontId="35" fillId="5" borderId="0" xfId="0" applyFont="1" applyFill="1" applyAlignment="1">
      <alignment horizontal="left" wrapText="1"/>
    </xf>
    <xf numFmtId="0" fontId="12" fillId="0" borderId="6" xfId="0" applyFont="1" applyBorder="1" applyAlignment="1">
      <alignment horizontal="right" vertical="center"/>
    </xf>
    <xf numFmtId="0" fontId="13" fillId="0" borderId="14" xfId="0" applyFont="1" applyBorder="1" applyAlignment="1">
      <alignment horizontal="right" vertical="center"/>
    </xf>
    <xf numFmtId="0" fontId="13" fillId="0" borderId="7" xfId="0" applyFont="1" applyBorder="1" applyAlignment="1">
      <alignment horizontal="right" vertical="center"/>
    </xf>
    <xf numFmtId="0" fontId="13" fillId="0" borderId="11" xfId="0" applyFont="1" applyBorder="1" applyAlignment="1">
      <alignment horizontal="right" vertical="center"/>
    </xf>
    <xf numFmtId="0" fontId="13" fillId="0" borderId="15" xfId="0" applyFont="1" applyBorder="1" applyAlignment="1">
      <alignment horizontal="right" vertical="center"/>
    </xf>
    <xf numFmtId="0" fontId="13" fillId="0" borderId="12" xfId="0" applyFont="1" applyBorder="1" applyAlignment="1">
      <alignment horizontal="right" vertical="center"/>
    </xf>
    <xf numFmtId="0" fontId="5" fillId="2" borderId="4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2" xfId="0" applyBorder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47" fillId="5" borderId="0" xfId="0" applyFont="1" applyFill="1" applyAlignment="1" applyProtection="1">
      <alignment horizontal="left"/>
      <protection hidden="1"/>
    </xf>
    <xf numFmtId="0" fontId="56" fillId="5" borderId="0" xfId="0" applyFont="1" applyFill="1" applyAlignment="1">
      <alignment horizontal="center"/>
    </xf>
    <xf numFmtId="0" fontId="57" fillId="5" borderId="0" xfId="0" applyFont="1" applyFill="1" applyAlignment="1">
      <alignment horizontal="left" wrapText="1"/>
    </xf>
    <xf numFmtId="0" fontId="46" fillId="0" borderId="0" xfId="0" applyFont="1" applyAlignment="1">
      <alignment horizontal="left" vertical="center"/>
    </xf>
    <xf numFmtId="0" fontId="56" fillId="5" borderId="0" xfId="0" applyFont="1" applyFill="1" applyAlignment="1" applyProtection="1">
      <alignment horizontal="center"/>
      <protection hidden="1"/>
    </xf>
    <xf numFmtId="0" fontId="52" fillId="5" borderId="0" xfId="0" applyFont="1" applyFill="1" applyAlignment="1">
      <alignment horizontal="left" vertical="center"/>
    </xf>
    <xf numFmtId="0" fontId="47" fillId="5" borderId="0" xfId="0" applyFont="1" applyFill="1" applyAlignment="1">
      <alignment horizontal="left" wrapText="1"/>
    </xf>
    <xf numFmtId="0" fontId="18" fillId="0" borderId="4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wrapText="1"/>
    </xf>
    <xf numFmtId="0" fontId="18" fillId="0" borderId="3" xfId="0" applyFont="1" applyBorder="1" applyAlignment="1">
      <alignment horizontal="center" vertical="center" textRotation="90" wrapText="1"/>
    </xf>
    <xf numFmtId="0" fontId="57" fillId="0" borderId="0" xfId="0" applyFont="1" applyAlignment="1">
      <alignment horizontal="left" vertical="center"/>
    </xf>
    <xf numFmtId="0" fontId="18" fillId="0" borderId="3" xfId="0" applyFont="1" applyBorder="1" applyAlignment="1">
      <alignment horizontal="center" vertical="center" wrapText="1"/>
    </xf>
    <xf numFmtId="0" fontId="26" fillId="5" borderId="7" xfId="0" applyFont="1" applyFill="1" applyBorder="1" applyAlignment="1">
      <alignment horizontal="center" vertical="top" wrapText="1"/>
    </xf>
    <xf numFmtId="0" fontId="27" fillId="5" borderId="10" xfId="0" applyFont="1" applyFill="1" applyBorder="1" applyAlignment="1">
      <alignment horizontal="center" vertical="top" wrapText="1"/>
    </xf>
    <xf numFmtId="0" fontId="27" fillId="5" borderId="12" xfId="0" applyFont="1" applyFill="1" applyBorder="1" applyAlignment="1">
      <alignment horizontal="center" vertical="top" wrapText="1"/>
    </xf>
    <xf numFmtId="0" fontId="26" fillId="5" borderId="1" xfId="0" applyFont="1" applyFill="1" applyBorder="1" applyAlignment="1">
      <alignment horizontal="center" vertical="top" wrapText="1"/>
    </xf>
    <xf numFmtId="0" fontId="27" fillId="5" borderId="9" xfId="0" applyFont="1" applyFill="1" applyBorder="1" applyAlignment="1">
      <alignment horizontal="center" vertical="top" wrapText="1"/>
    </xf>
    <xf numFmtId="0" fontId="27" fillId="5" borderId="5" xfId="0" applyFont="1" applyFill="1" applyBorder="1" applyAlignment="1">
      <alignment horizontal="center" vertical="top" wrapText="1"/>
    </xf>
    <xf numFmtId="0" fontId="26" fillId="0" borderId="7" xfId="0" applyFont="1" applyBorder="1" applyAlignment="1">
      <alignment horizontal="center" vertical="top" wrapText="1"/>
    </xf>
    <xf numFmtId="0" fontId="27" fillId="0" borderId="10" xfId="0" applyFont="1" applyBorder="1" applyAlignment="1">
      <alignment horizontal="center" vertical="top"/>
    </xf>
    <xf numFmtId="0" fontId="27" fillId="0" borderId="12" xfId="0" applyFont="1" applyBorder="1" applyAlignment="1">
      <alignment horizontal="center" vertical="top"/>
    </xf>
    <xf numFmtId="0" fontId="26" fillId="0" borderId="1" xfId="0" applyFont="1" applyBorder="1" applyAlignment="1">
      <alignment horizontal="center" vertical="top" wrapText="1"/>
    </xf>
    <xf numFmtId="0" fontId="27" fillId="0" borderId="9" xfId="0" applyFont="1" applyBorder="1" applyAlignment="1">
      <alignment horizontal="center" vertical="top" wrapText="1"/>
    </xf>
    <xf numFmtId="0" fontId="27" fillId="0" borderId="5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center" wrapText="1"/>
    </xf>
    <xf numFmtId="0" fontId="21" fillId="5" borderId="4" xfId="0" applyFont="1" applyFill="1" applyBorder="1" applyAlignment="1">
      <alignment horizontal="center" vertical="center" wrapText="1"/>
    </xf>
    <xf numFmtId="0" fontId="101" fillId="5" borderId="13" xfId="0" applyFont="1" applyFill="1" applyBorder="1" applyAlignment="1">
      <alignment horizontal="center" vertical="center" wrapText="1"/>
    </xf>
    <xf numFmtId="0" fontId="101" fillId="5" borderId="2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102" fillId="2" borderId="13" xfId="0" applyFont="1" applyFill="1" applyBorder="1" applyAlignment="1">
      <alignment horizontal="center" vertical="center" wrapText="1"/>
    </xf>
    <xf numFmtId="0" fontId="102" fillId="2" borderId="2" xfId="0" applyFont="1" applyFill="1" applyBorder="1" applyAlignment="1">
      <alignment horizontal="center" vertical="center" wrapText="1"/>
    </xf>
    <xf numFmtId="0" fontId="28" fillId="5" borderId="8" xfId="0" applyFont="1" applyFill="1" applyBorder="1" applyAlignment="1">
      <alignment horizontal="right" vertical="top"/>
    </xf>
    <xf numFmtId="0" fontId="28" fillId="5" borderId="0" xfId="0" applyFont="1" applyFill="1" applyAlignment="1">
      <alignment horizontal="right" vertical="top"/>
    </xf>
    <xf numFmtId="0" fontId="28" fillId="5" borderId="10" xfId="0" applyFont="1" applyFill="1" applyBorder="1" applyAlignment="1">
      <alignment horizontal="right" vertical="top"/>
    </xf>
    <xf numFmtId="0" fontId="28" fillId="5" borderId="11" xfId="0" applyFont="1" applyFill="1" applyBorder="1" applyAlignment="1">
      <alignment horizontal="right" vertical="top"/>
    </xf>
    <xf numFmtId="0" fontId="28" fillId="5" borderId="15" xfId="0" applyFont="1" applyFill="1" applyBorder="1" applyAlignment="1">
      <alignment horizontal="right" vertical="top"/>
    </xf>
    <xf numFmtId="0" fontId="28" fillId="5" borderId="12" xfId="0" applyFont="1" applyFill="1" applyBorder="1" applyAlignment="1">
      <alignment horizontal="right" vertical="top"/>
    </xf>
    <xf numFmtId="0" fontId="18" fillId="0" borderId="7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20" fillId="0" borderId="12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20" fillId="0" borderId="9" xfId="0" applyFont="1" applyBorder="1" applyAlignment="1">
      <alignment horizontal="center" vertical="top" wrapText="1"/>
    </xf>
    <xf numFmtId="0" fontId="20" fillId="0" borderId="5" xfId="0" applyFont="1" applyBorder="1" applyAlignment="1">
      <alignment horizontal="center" vertical="top" wrapText="1"/>
    </xf>
    <xf numFmtId="0" fontId="27" fillId="0" borderId="10" xfId="0" applyFont="1" applyBorder="1" applyAlignment="1">
      <alignment horizontal="center" vertical="top" wrapText="1"/>
    </xf>
    <xf numFmtId="0" fontId="27" fillId="0" borderId="12" xfId="0" applyFont="1" applyBorder="1" applyAlignment="1">
      <alignment horizontal="center" vertical="top" wrapText="1"/>
    </xf>
    <xf numFmtId="0" fontId="26" fillId="5" borderId="14" xfId="0" applyFont="1" applyFill="1" applyBorder="1" applyAlignment="1">
      <alignment horizontal="center" vertical="top" wrapText="1"/>
    </xf>
    <xf numFmtId="0" fontId="27" fillId="5" borderId="0" xfId="0" applyFont="1" applyFill="1" applyAlignment="1">
      <alignment horizontal="center" vertical="top"/>
    </xf>
    <xf numFmtId="0" fontId="27" fillId="5" borderId="15" xfId="0" applyFont="1" applyFill="1" applyBorder="1" applyAlignment="1">
      <alignment horizontal="center" vertical="top"/>
    </xf>
    <xf numFmtId="0" fontId="28" fillId="5" borderId="8" xfId="0" applyFont="1" applyFill="1" applyBorder="1" applyAlignment="1">
      <alignment horizontal="right" vertical="center"/>
    </xf>
    <xf numFmtId="0" fontId="28" fillId="5" borderId="0" xfId="0" applyFont="1" applyFill="1" applyAlignment="1">
      <alignment horizontal="right" vertical="center"/>
    </xf>
    <xf numFmtId="0" fontId="28" fillId="5" borderId="10" xfId="0" applyFont="1" applyFill="1" applyBorder="1" applyAlignment="1">
      <alignment horizontal="right" vertical="center"/>
    </xf>
    <xf numFmtId="0" fontId="28" fillId="5" borderId="11" xfId="0" applyFont="1" applyFill="1" applyBorder="1" applyAlignment="1">
      <alignment horizontal="right" vertical="center"/>
    </xf>
    <xf numFmtId="0" fontId="28" fillId="5" borderId="15" xfId="0" applyFont="1" applyFill="1" applyBorder="1" applyAlignment="1">
      <alignment horizontal="right" vertical="center"/>
    </xf>
    <xf numFmtId="0" fontId="28" fillId="5" borderId="12" xfId="0" applyFont="1" applyFill="1" applyBorder="1" applyAlignment="1">
      <alignment horizontal="right" vertical="center"/>
    </xf>
    <xf numFmtId="0" fontId="12" fillId="3" borderId="6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 wrapText="1"/>
    </xf>
    <xf numFmtId="0" fontId="101" fillId="2" borderId="13" xfId="0" applyFont="1" applyFill="1" applyBorder="1" applyAlignment="1">
      <alignment horizontal="center" vertical="center" wrapText="1"/>
    </xf>
    <xf numFmtId="0" fontId="101" fillId="2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27" fillId="0" borderId="0" xfId="0" applyFont="1" applyAlignment="1">
      <alignment horizontal="center" vertical="top"/>
    </xf>
    <xf numFmtId="0" fontId="27" fillId="0" borderId="15" xfId="0" applyFont="1" applyBorder="1" applyAlignment="1">
      <alignment horizontal="center" vertical="top"/>
    </xf>
    <xf numFmtId="0" fontId="18" fillId="0" borderId="3" xfId="0" applyFont="1" applyBorder="1" applyAlignment="1">
      <alignment horizontal="center" wrapText="1"/>
    </xf>
    <xf numFmtId="49" fontId="47" fillId="5" borderId="0" xfId="0" applyNumberFormat="1" applyFont="1" applyFill="1" applyAlignment="1">
      <alignment horizontal="left" wrapText="1"/>
    </xf>
    <xf numFmtId="0" fontId="56" fillId="5" borderId="0" xfId="0" applyFont="1" applyFill="1" applyAlignment="1">
      <alignment horizontal="center" vertical="center" wrapText="1"/>
    </xf>
    <xf numFmtId="0" fontId="52" fillId="5" borderId="0" xfId="0" applyFont="1" applyFill="1" applyAlignment="1">
      <alignment horizontal="left" vertical="center" wrapText="1"/>
    </xf>
    <xf numFmtId="49" fontId="56" fillId="5" borderId="0" xfId="0" applyNumberFormat="1" applyFont="1" applyFill="1" applyAlignment="1">
      <alignment horizontal="center"/>
    </xf>
    <xf numFmtId="49" fontId="12" fillId="5" borderId="6" xfId="0" applyNumberFormat="1" applyFont="1" applyFill="1" applyBorder="1" applyAlignment="1">
      <alignment horizontal="right" vertical="center"/>
    </xf>
    <xf numFmtId="49" fontId="12" fillId="5" borderId="14" xfId="0" applyNumberFormat="1" applyFont="1" applyFill="1" applyBorder="1" applyAlignment="1">
      <alignment horizontal="right" vertical="center"/>
    </xf>
    <xf numFmtId="49" fontId="12" fillId="5" borderId="7" xfId="0" applyNumberFormat="1" applyFont="1" applyFill="1" applyBorder="1" applyAlignment="1">
      <alignment horizontal="right" vertical="center"/>
    </xf>
    <xf numFmtId="49" fontId="12" fillId="5" borderId="11" xfId="0" applyNumberFormat="1" applyFont="1" applyFill="1" applyBorder="1" applyAlignment="1">
      <alignment horizontal="right" vertical="center"/>
    </xf>
    <xf numFmtId="49" fontId="12" fillId="5" borderId="15" xfId="0" applyNumberFormat="1" applyFont="1" applyFill="1" applyBorder="1" applyAlignment="1">
      <alignment horizontal="right" vertical="center"/>
    </xf>
    <xf numFmtId="49" fontId="12" fillId="5" borderId="12" xfId="0" applyNumberFormat="1" applyFont="1" applyFill="1" applyBorder="1" applyAlignment="1">
      <alignment horizontal="right" vertical="center"/>
    </xf>
    <xf numFmtId="0" fontId="12" fillId="11" borderId="4" xfId="0" applyFont="1" applyFill="1" applyBorder="1" applyAlignment="1">
      <alignment horizontal="center"/>
    </xf>
    <xf numFmtId="0" fontId="12" fillId="11" borderId="13" xfId="0" applyFont="1" applyFill="1" applyBorder="1" applyAlignment="1">
      <alignment horizontal="center"/>
    </xf>
    <xf numFmtId="0" fontId="12" fillId="11" borderId="2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left" vertical="top" wrapText="1"/>
    </xf>
    <xf numFmtId="0" fontId="6" fillId="5" borderId="9" xfId="0" applyFont="1" applyFill="1" applyBorder="1" applyAlignment="1">
      <alignment horizontal="left" vertical="top" wrapText="1"/>
    </xf>
    <xf numFmtId="0" fontId="6" fillId="5" borderId="7" xfId="0" applyFont="1" applyFill="1" applyBorder="1" applyAlignment="1">
      <alignment horizontal="left" vertical="top" wrapText="1"/>
    </xf>
    <xf numFmtId="0" fontId="6" fillId="5" borderId="12" xfId="0" applyFont="1" applyFill="1" applyBorder="1" applyAlignment="1">
      <alignment horizontal="left" vertical="top" wrapText="1"/>
    </xf>
    <xf numFmtId="0" fontId="6" fillId="5" borderId="5" xfId="0" applyFont="1" applyFill="1" applyBorder="1" applyAlignment="1">
      <alignment horizontal="left" vertical="top" wrapText="1"/>
    </xf>
    <xf numFmtId="0" fontId="6" fillId="5" borderId="3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/>
    </xf>
    <xf numFmtId="0" fontId="12" fillId="3" borderId="13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left" vertical="top" wrapText="1"/>
    </xf>
    <xf numFmtId="0" fontId="12" fillId="11" borderId="14" xfId="0" applyFont="1" applyFill="1" applyBorder="1" applyAlignment="1">
      <alignment horizontal="center"/>
    </xf>
    <xf numFmtId="0" fontId="12" fillId="0" borderId="4" xfId="0" applyFont="1" applyBorder="1" applyAlignment="1">
      <alignment horizontal="right" vertical="center"/>
    </xf>
    <xf numFmtId="0" fontId="12" fillId="0" borderId="13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49" fontId="14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23" fillId="0" borderId="13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top"/>
    </xf>
    <xf numFmtId="0" fontId="0" fillId="0" borderId="5" xfId="0" applyBorder="1"/>
    <xf numFmtId="49" fontId="12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13" fillId="0" borderId="1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6" fillId="5" borderId="1" xfId="0" applyFont="1" applyFill="1" applyBorder="1" applyAlignment="1" applyProtection="1">
      <alignment vertical="center" wrapText="1"/>
      <protection hidden="1"/>
    </xf>
    <xf numFmtId="0" fontId="6" fillId="5" borderId="9" xfId="0" applyFont="1" applyFill="1" applyBorder="1" applyAlignment="1" applyProtection="1">
      <alignment vertical="center" wrapText="1"/>
      <protection hidden="1"/>
    </xf>
    <xf numFmtId="49" fontId="6" fillId="5" borderId="1" xfId="0" applyNumberFormat="1" applyFont="1" applyFill="1" applyBorder="1" applyAlignment="1" applyProtection="1">
      <alignment horizontal="center" vertical="center"/>
      <protection hidden="1"/>
    </xf>
    <xf numFmtId="49" fontId="6" fillId="5" borderId="9" xfId="0" applyNumberFormat="1" applyFont="1" applyFill="1" applyBorder="1" applyAlignment="1" applyProtection="1">
      <alignment horizontal="center" vertical="center"/>
      <protection hidden="1"/>
    </xf>
    <xf numFmtId="0" fontId="6" fillId="5" borderId="1" xfId="0" applyFont="1" applyFill="1" applyBorder="1" applyAlignment="1" applyProtection="1">
      <alignment horizontal="center" vertical="center"/>
      <protection hidden="1"/>
    </xf>
    <xf numFmtId="0" fontId="6" fillId="5" borderId="9" xfId="0" applyFont="1" applyFill="1" applyBorder="1" applyAlignment="1" applyProtection="1">
      <alignment horizontal="center" vertical="center"/>
      <protection hidden="1"/>
    </xf>
    <xf numFmtId="166" fontId="6" fillId="5" borderId="1" xfId="0" applyNumberFormat="1" applyFont="1" applyFill="1" applyBorder="1" applyAlignment="1" applyProtection="1">
      <alignment horizontal="center" vertical="center"/>
      <protection hidden="1"/>
    </xf>
    <xf numFmtId="166" fontId="6" fillId="5" borderId="9" xfId="0" applyNumberFormat="1" applyFont="1" applyFill="1" applyBorder="1" applyAlignment="1" applyProtection="1">
      <alignment horizontal="center" vertical="center"/>
      <protection hidden="1"/>
    </xf>
    <xf numFmtId="49" fontId="12" fillId="3" borderId="4" xfId="0" applyNumberFormat="1" applyFont="1" applyFill="1" applyBorder="1" applyAlignment="1" applyProtection="1">
      <alignment horizontal="center"/>
      <protection hidden="1"/>
    </xf>
    <xf numFmtId="49" fontId="12" fillId="3" borderId="13" xfId="0" applyNumberFormat="1" applyFont="1" applyFill="1" applyBorder="1" applyAlignment="1" applyProtection="1">
      <alignment horizontal="center"/>
      <protection hidden="1"/>
    </xf>
    <xf numFmtId="49" fontId="12" fillId="3" borderId="2" xfId="0" applyNumberFormat="1" applyFont="1" applyFill="1" applyBorder="1" applyAlignment="1" applyProtection="1">
      <alignment horizontal="center"/>
      <protection hidden="1"/>
    </xf>
    <xf numFmtId="49" fontId="6" fillId="5" borderId="1" xfId="0" applyNumberFormat="1" applyFont="1" applyFill="1" applyBorder="1" applyAlignment="1" applyProtection="1">
      <alignment horizontal="center" vertical="center" wrapText="1"/>
      <protection hidden="1"/>
    </xf>
    <xf numFmtId="49" fontId="6" fillId="5" borderId="9" xfId="0" applyNumberFormat="1" applyFont="1" applyFill="1" applyBorder="1" applyAlignment="1" applyProtection="1">
      <alignment horizontal="center" vertical="center" wrapText="1"/>
      <protection hidden="1"/>
    </xf>
    <xf numFmtId="0" fontId="6" fillId="5" borderId="1" xfId="0" applyFont="1" applyFill="1" applyBorder="1" applyAlignment="1" applyProtection="1">
      <alignment horizontal="center" vertical="center" wrapText="1"/>
      <protection hidden="1"/>
    </xf>
    <xf numFmtId="0" fontId="6" fillId="5" borderId="9" xfId="0" applyFont="1" applyFill="1" applyBorder="1" applyAlignment="1" applyProtection="1">
      <alignment horizontal="center" vertical="center" wrapText="1"/>
      <protection hidden="1"/>
    </xf>
    <xf numFmtId="0" fontId="11" fillId="0" borderId="9" xfId="0" applyFont="1" applyBorder="1" applyAlignment="1">
      <alignment horizontal="center" vertical="top"/>
    </xf>
    <xf numFmtId="0" fontId="11" fillId="0" borderId="5" xfId="0" applyFont="1" applyBorder="1"/>
    <xf numFmtId="0" fontId="14" fillId="0" borderId="6" xfId="0" applyFont="1" applyBorder="1" applyAlignment="1">
      <alignment horizontal="right" vertical="center"/>
    </xf>
    <xf numFmtId="0" fontId="12" fillId="0" borderId="14" xfId="0" applyFont="1" applyBorder="1" applyAlignment="1">
      <alignment horizontal="right" vertical="center"/>
    </xf>
    <xf numFmtId="0" fontId="12" fillId="0" borderId="7" xfId="0" applyFont="1" applyBorder="1" applyAlignment="1">
      <alignment horizontal="right" vertical="center"/>
    </xf>
    <xf numFmtId="0" fontId="12" fillId="0" borderId="8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0" fontId="12" fillId="0" borderId="10" xfId="0" applyFont="1" applyBorder="1" applyAlignment="1">
      <alignment horizontal="right" vertical="center"/>
    </xf>
    <xf numFmtId="0" fontId="12" fillId="0" borderId="11" xfId="0" applyFont="1" applyBorder="1" applyAlignment="1">
      <alignment horizontal="right" vertical="center"/>
    </xf>
    <xf numFmtId="0" fontId="12" fillId="0" borderId="15" xfId="0" applyFont="1" applyBorder="1" applyAlignment="1">
      <alignment horizontal="right" vertical="center"/>
    </xf>
    <xf numFmtId="0" fontId="12" fillId="0" borderId="12" xfId="0" applyFont="1" applyBorder="1" applyAlignment="1">
      <alignment horizontal="right" vertical="center"/>
    </xf>
    <xf numFmtId="0" fontId="66" fillId="0" borderId="3" xfId="0" applyFont="1" applyBorder="1" applyAlignment="1">
      <alignment horizontal="center" vertical="center" wrapText="1"/>
    </xf>
    <xf numFmtId="0" fontId="49" fillId="5" borderId="15" xfId="0" applyFont="1" applyFill="1" applyBorder="1" applyAlignment="1">
      <alignment horizontal="left"/>
    </xf>
    <xf numFmtId="0" fontId="33" fillId="5" borderId="0" xfId="0" applyFont="1" applyFill="1" applyAlignment="1">
      <alignment horizontal="left"/>
    </xf>
    <xf numFmtId="0" fontId="32" fillId="5" borderId="0" xfId="0" applyFont="1" applyFill="1" applyAlignment="1">
      <alignment horizontal="center"/>
    </xf>
    <xf numFmtId="0" fontId="22" fillId="5" borderId="0" xfId="0" applyFont="1" applyFill="1" applyAlignment="1">
      <alignment horizontal="left"/>
    </xf>
    <xf numFmtId="0" fontId="37" fillId="5" borderId="0" xfId="0" applyFont="1" applyFill="1" applyAlignment="1">
      <alignment horizontal="left" wrapText="1"/>
    </xf>
    <xf numFmtId="49" fontId="35" fillId="5" borderId="1" xfId="0" applyNumberFormat="1" applyFont="1" applyFill="1" applyBorder="1" applyAlignment="1">
      <alignment horizontal="center" vertical="top" wrapText="1"/>
    </xf>
    <xf numFmtId="0" fontId="40" fillId="5" borderId="9" xfId="0" applyFont="1" applyFill="1" applyBorder="1"/>
    <xf numFmtId="0" fontId="40" fillId="5" borderId="5" xfId="0" applyFont="1" applyFill="1" applyBorder="1"/>
    <xf numFmtId="0" fontId="40" fillId="5" borderId="9" xfId="0" applyFont="1" applyFill="1" applyBorder="1" applyAlignment="1">
      <alignment wrapText="1"/>
    </xf>
    <xf numFmtId="0" fontId="40" fillId="5" borderId="5" xfId="0" applyFont="1" applyFill="1" applyBorder="1" applyAlignment="1">
      <alignment wrapText="1"/>
    </xf>
    <xf numFmtId="0" fontId="37" fillId="5" borderId="6" xfId="0" applyFont="1" applyFill="1" applyBorder="1" applyAlignment="1">
      <alignment horizontal="right" vertical="center"/>
    </xf>
    <xf numFmtId="0" fontId="37" fillId="5" borderId="14" xfId="0" applyFont="1" applyFill="1" applyBorder="1" applyAlignment="1">
      <alignment horizontal="right" vertical="center"/>
    </xf>
    <xf numFmtId="0" fontId="37" fillId="5" borderId="7" xfId="0" applyFont="1" applyFill="1" applyBorder="1" applyAlignment="1">
      <alignment horizontal="right" vertical="center"/>
    </xf>
    <xf numFmtId="0" fontId="37" fillId="5" borderId="8" xfId="0" applyFont="1" applyFill="1" applyBorder="1" applyAlignment="1">
      <alignment horizontal="right" vertical="center"/>
    </xf>
    <xf numFmtId="0" fontId="37" fillId="5" borderId="0" xfId="0" applyFont="1" applyFill="1" applyAlignment="1">
      <alignment horizontal="right" vertical="center"/>
    </xf>
    <xf numFmtId="0" fontId="37" fillId="5" borderId="10" xfId="0" applyFont="1" applyFill="1" applyBorder="1" applyAlignment="1">
      <alignment horizontal="right" vertical="center"/>
    </xf>
    <xf numFmtId="0" fontId="37" fillId="5" borderId="11" xfId="0" applyFont="1" applyFill="1" applyBorder="1" applyAlignment="1">
      <alignment horizontal="right" vertical="center"/>
    </xf>
    <xf numFmtId="0" fontId="37" fillId="5" borderId="15" xfId="0" applyFont="1" applyFill="1" applyBorder="1" applyAlignment="1">
      <alignment horizontal="right" vertical="center"/>
    </xf>
    <xf numFmtId="0" fontId="37" fillId="5" borderId="12" xfId="0" applyFont="1" applyFill="1" applyBorder="1" applyAlignment="1">
      <alignment horizontal="right" vertical="center"/>
    </xf>
    <xf numFmtId="0" fontId="37" fillId="2" borderId="6" xfId="0" applyFont="1" applyFill="1" applyBorder="1" applyAlignment="1">
      <alignment horizontal="center" vertical="center" wrapText="1"/>
    </xf>
    <xf numFmtId="0" fontId="37" fillId="2" borderId="14" xfId="0" applyFont="1" applyFill="1" applyBorder="1" applyAlignment="1">
      <alignment horizontal="center" vertical="center" wrapText="1"/>
    </xf>
    <xf numFmtId="0" fontId="37" fillId="2" borderId="13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 wrapText="1"/>
    </xf>
    <xf numFmtId="0" fontId="66" fillId="0" borderId="3" xfId="0" applyFont="1" applyBorder="1" applyAlignment="1">
      <alignment horizontal="center"/>
    </xf>
    <xf numFmtId="0" fontId="52" fillId="3" borderId="6" xfId="0" applyFont="1" applyFill="1" applyBorder="1" applyAlignment="1">
      <alignment horizontal="center"/>
    </xf>
    <xf numFmtId="0" fontId="52" fillId="3" borderId="14" xfId="0" applyFont="1" applyFill="1" applyBorder="1" applyAlignment="1">
      <alignment horizontal="center"/>
    </xf>
    <xf numFmtId="0" fontId="52" fillId="3" borderId="13" xfId="0" applyFont="1" applyFill="1" applyBorder="1" applyAlignment="1">
      <alignment horizontal="center"/>
    </xf>
    <xf numFmtId="0" fontId="52" fillId="3" borderId="2" xfId="0" applyFont="1" applyFill="1" applyBorder="1" applyAlignment="1">
      <alignment horizontal="center"/>
    </xf>
    <xf numFmtId="0" fontId="66" fillId="0" borderId="3" xfId="0" applyFont="1" applyBorder="1" applyAlignment="1">
      <alignment horizontal="center" vertical="center" textRotation="90" wrapText="1"/>
    </xf>
    <xf numFmtId="0" fontId="66" fillId="0" borderId="1" xfId="0" applyFont="1" applyBorder="1" applyAlignment="1">
      <alignment horizontal="center" vertical="center" textRotation="90" wrapText="1"/>
    </xf>
    <xf numFmtId="0" fontId="66" fillId="0" borderId="5" xfId="0" applyFont="1" applyBorder="1" applyAlignment="1">
      <alignment horizontal="center" vertical="center" textRotation="90" wrapText="1"/>
    </xf>
    <xf numFmtId="49" fontId="9" fillId="2" borderId="4" xfId="0" applyNumberFormat="1" applyFont="1" applyFill="1" applyBorder="1" applyAlignment="1">
      <alignment horizontal="center" vertical="center" wrapText="1"/>
    </xf>
    <xf numFmtId="49" fontId="9" fillId="2" borderId="13" xfId="0" applyNumberFormat="1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3" borderId="6" xfId="0" applyNumberFormat="1" applyFont="1" applyFill="1" applyBorder="1" applyAlignment="1">
      <alignment horizontal="center" vertical="center" wrapText="1"/>
    </xf>
    <xf numFmtId="49" fontId="9" fillId="3" borderId="14" xfId="0" applyNumberFormat="1" applyFont="1" applyFill="1" applyBorder="1" applyAlignment="1">
      <alignment horizontal="center" vertical="center" wrapText="1"/>
    </xf>
    <xf numFmtId="49" fontId="9" fillId="3" borderId="0" xfId="0" applyNumberFormat="1" applyFont="1" applyFill="1" applyAlignment="1">
      <alignment horizontal="center" vertical="center" wrapText="1"/>
    </xf>
    <xf numFmtId="49" fontId="9" fillId="3" borderId="10" xfId="0" applyNumberFormat="1" applyFont="1" applyFill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wrapText="1"/>
    </xf>
    <xf numFmtId="0" fontId="30" fillId="0" borderId="5" xfId="0" applyFont="1" applyBorder="1" applyAlignment="1">
      <alignment horizont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right" vertical="center" wrapText="1"/>
    </xf>
    <xf numFmtId="0" fontId="24" fillId="0" borderId="13" xfId="0" applyFont="1" applyBorder="1" applyAlignment="1">
      <alignment horizontal="right" vertical="center" wrapText="1"/>
    </xf>
    <xf numFmtId="0" fontId="33" fillId="5" borderId="0" xfId="0" applyFont="1" applyFill="1" applyAlignment="1">
      <alignment horizontal="left" wrapText="1"/>
    </xf>
    <xf numFmtId="0" fontId="32" fillId="5" borderId="0" xfId="0" applyFont="1" applyFill="1" applyAlignment="1">
      <alignment horizontal="center" wrapText="1"/>
    </xf>
    <xf numFmtId="0" fontId="33" fillId="6" borderId="0" xfId="0" applyFont="1" applyFill="1" applyAlignment="1">
      <alignment horizontal="left"/>
    </xf>
    <xf numFmtId="0" fontId="35" fillId="0" borderId="0" xfId="0" applyFont="1" applyAlignment="1">
      <alignment horizontal="left" wrapText="1"/>
    </xf>
    <xf numFmtId="0" fontId="21" fillId="0" borderId="11" xfId="0" applyFont="1" applyBorder="1" applyAlignment="1">
      <alignment horizontal="right" vertical="center" wrapText="1"/>
    </xf>
    <xf numFmtId="0" fontId="21" fillId="0" borderId="13" xfId="0" applyFont="1" applyBorder="1" applyAlignment="1">
      <alignment horizontal="right" vertical="center" wrapText="1"/>
    </xf>
    <xf numFmtId="0" fontId="21" fillId="3" borderId="4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35" fillId="0" borderId="0" xfId="0" applyFont="1" applyAlignment="1">
      <alignment horizontal="left"/>
    </xf>
    <xf numFmtId="0" fontId="37" fillId="7" borderId="4" xfId="0" applyFont="1" applyFill="1" applyBorder="1" applyAlignment="1">
      <alignment horizontal="center" vertical="center" wrapText="1"/>
    </xf>
    <xf numFmtId="0" fontId="37" fillId="7" borderId="13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top" wrapText="1"/>
    </xf>
    <xf numFmtId="0" fontId="6" fillId="5" borderId="9" xfId="0" applyFont="1" applyFill="1" applyBorder="1" applyAlignment="1">
      <alignment horizontal="center" vertical="top" wrapText="1"/>
    </xf>
    <xf numFmtId="0" fontId="6" fillId="5" borderId="4" xfId="0" applyFont="1" applyFill="1" applyBorder="1" applyAlignment="1">
      <alignment horizontal="center" vertical="top" wrapText="1"/>
    </xf>
    <xf numFmtId="0" fontId="6" fillId="5" borderId="2" xfId="0" applyFont="1" applyFill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37" fillId="0" borderId="0" xfId="0" applyFont="1" applyAlignment="1">
      <alignment horizontal="left" wrapText="1"/>
    </xf>
    <xf numFmtId="0" fontId="37" fillId="3" borderId="4" xfId="0" applyFont="1" applyFill="1" applyBorder="1" applyAlignment="1">
      <alignment horizontal="center" vertical="center"/>
    </xf>
    <xf numFmtId="0" fontId="37" fillId="3" borderId="13" xfId="0" applyFont="1" applyFill="1" applyBorder="1" applyAlignment="1">
      <alignment horizontal="center" vertical="center"/>
    </xf>
    <xf numFmtId="0" fontId="37" fillId="3" borderId="2" xfId="0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/>
    </xf>
    <xf numFmtId="0" fontId="37" fillId="2" borderId="13" xfId="0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/>
    </xf>
    <xf numFmtId="0" fontId="47" fillId="5" borderId="3" xfId="0" applyFont="1" applyFill="1" applyBorder="1" applyAlignment="1">
      <alignment horizontal="center" vertical="center" wrapText="1"/>
    </xf>
    <xf numFmtId="0" fontId="47" fillId="5" borderId="3" xfId="0" applyFont="1" applyFill="1" applyBorder="1" applyAlignment="1">
      <alignment vertical="center"/>
    </xf>
    <xf numFmtId="0" fontId="47" fillId="0" borderId="1" xfId="0" applyFont="1" applyBorder="1" applyAlignment="1">
      <alignment horizontal="center" vertical="center" wrapText="1"/>
    </xf>
    <xf numFmtId="0" fontId="47" fillId="0" borderId="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35" fillId="0" borderId="5" xfId="0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11" xfId="0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47" fillId="0" borderId="4" xfId="0" applyFont="1" applyBorder="1" applyAlignment="1">
      <alignment horizontal="center" vertical="center"/>
    </xf>
    <xf numFmtId="0" fontId="47" fillId="0" borderId="13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0" fontId="35" fillId="0" borderId="9" xfId="0" applyFont="1" applyBorder="1" applyAlignment="1">
      <alignment horizontal="center" vertical="center"/>
    </xf>
    <xf numFmtId="0" fontId="35" fillId="0" borderId="5" xfId="0" applyFont="1" applyBorder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47" fillId="0" borderId="14" xfId="0" applyFont="1" applyBorder="1" applyAlignment="1">
      <alignment horizontal="center" vertical="center"/>
    </xf>
    <xf numFmtId="0" fontId="47" fillId="0" borderId="7" xfId="0" applyFont="1" applyBorder="1" applyAlignment="1">
      <alignment horizontal="center" vertical="center"/>
    </xf>
    <xf numFmtId="0" fontId="47" fillId="0" borderId="8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7" fillId="0" borderId="11" xfId="0" applyFont="1" applyBorder="1" applyAlignment="1">
      <alignment horizontal="center" vertical="center"/>
    </xf>
    <xf numFmtId="0" fontId="47" fillId="0" borderId="15" xfId="0" applyFont="1" applyBorder="1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9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47" fillId="0" borderId="8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9" xfId="0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3" fillId="0" borderId="9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3" fillId="5" borderId="1" xfId="0" applyFont="1" applyFill="1" applyBorder="1" applyAlignment="1">
      <alignment horizontal="center" vertical="top" wrapText="1"/>
    </xf>
    <xf numFmtId="0" fontId="3" fillId="5" borderId="5" xfId="0" applyFont="1" applyFill="1" applyBorder="1" applyAlignment="1">
      <alignment horizontal="center" vertical="top" wrapText="1"/>
    </xf>
    <xf numFmtId="0" fontId="11" fillId="0" borderId="9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top" wrapText="1"/>
    </xf>
    <xf numFmtId="49" fontId="3" fillId="0" borderId="9" xfId="0" applyNumberFormat="1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3" fillId="5" borderId="9" xfId="0" applyFont="1" applyFill="1" applyBorder="1" applyAlignment="1">
      <alignment horizontal="center" vertical="top" wrapText="1"/>
    </xf>
    <xf numFmtId="49" fontId="11" fillId="0" borderId="5" xfId="0" applyNumberFormat="1" applyFont="1" applyBorder="1" applyAlignment="1">
      <alignment horizontal="center" vertical="top"/>
    </xf>
    <xf numFmtId="0" fontId="6" fillId="5" borderId="5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top"/>
    </xf>
    <xf numFmtId="49" fontId="6" fillId="0" borderId="9" xfId="0" applyNumberFormat="1" applyFont="1" applyBorder="1" applyAlignment="1">
      <alignment horizontal="center" vertical="top"/>
    </xf>
    <xf numFmtId="49" fontId="6" fillId="0" borderId="5" xfId="0" applyNumberFormat="1" applyFont="1" applyBorder="1" applyAlignment="1">
      <alignment horizontal="center" vertical="top"/>
    </xf>
    <xf numFmtId="0" fontId="3" fillId="0" borderId="3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9" xfId="0" applyNumberFormat="1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5" borderId="3" xfId="0" applyFont="1" applyFill="1" applyBorder="1" applyAlignment="1">
      <alignment horizontal="center" vertical="top" wrapText="1"/>
    </xf>
    <xf numFmtId="0" fontId="14" fillId="3" borderId="4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52" fillId="3" borderId="4" xfId="0" applyFont="1" applyFill="1" applyBorder="1" applyAlignment="1">
      <alignment horizontal="center" vertical="center" wrapText="1"/>
    </xf>
    <xf numFmtId="0" fontId="70" fillId="0" borderId="13" xfId="0" applyFont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66" fillId="0" borderId="0" xfId="0" applyFont="1" applyAlignment="1">
      <alignment horizontal="left" vertical="center" wrapText="1"/>
    </xf>
    <xf numFmtId="49" fontId="6" fillId="5" borderId="1" xfId="0" applyNumberFormat="1" applyFont="1" applyFill="1" applyBorder="1" applyAlignment="1">
      <alignment horizontal="center" vertical="top" wrapText="1"/>
    </xf>
    <xf numFmtId="0" fontId="0" fillId="5" borderId="5" xfId="0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 wrapText="1"/>
    </xf>
    <xf numFmtId="0" fontId="0" fillId="0" borderId="3" xfId="0" applyBorder="1"/>
    <xf numFmtId="0" fontId="6" fillId="0" borderId="3" xfId="0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/>
    </xf>
    <xf numFmtId="49" fontId="6" fillId="5" borderId="3" xfId="0" applyNumberFormat="1" applyFont="1" applyFill="1" applyBorder="1" applyAlignment="1">
      <alignment horizontal="center" vertical="top" wrapText="1"/>
    </xf>
    <xf numFmtId="0" fontId="0" fillId="5" borderId="3" xfId="0" applyFill="1" applyBorder="1" applyAlignment="1">
      <alignment horizontal="center" vertical="top"/>
    </xf>
    <xf numFmtId="0" fontId="6" fillId="5" borderId="3" xfId="0" applyFont="1" applyFill="1" applyBorder="1" applyAlignment="1">
      <alignment horizontal="center" vertical="top" wrapText="1"/>
    </xf>
    <xf numFmtId="49" fontId="0" fillId="5" borderId="9" xfId="0" applyNumberFormat="1" applyFill="1" applyBorder="1" applyAlignment="1">
      <alignment horizontal="center" vertical="top" wrapText="1"/>
    </xf>
    <xf numFmtId="49" fontId="0" fillId="5" borderId="5" xfId="0" applyNumberFormat="1" applyFill="1" applyBorder="1" applyAlignment="1">
      <alignment horizontal="center" vertical="top" wrapText="1"/>
    </xf>
    <xf numFmtId="0" fontId="0" fillId="5" borderId="9" xfId="0" applyFill="1" applyBorder="1" applyAlignment="1">
      <alignment horizontal="center" vertical="top" wrapText="1"/>
    </xf>
    <xf numFmtId="0" fontId="6" fillId="5" borderId="3" xfId="0" applyFont="1" applyFill="1" applyBorder="1" applyAlignment="1">
      <alignment horizontal="center" vertical="center" textRotation="90" wrapText="1"/>
    </xf>
    <xf numFmtId="0" fontId="0" fillId="5" borderId="3" xfId="0" applyFill="1" applyBorder="1" applyAlignment="1">
      <alignment horizontal="center" vertical="center" textRotation="90"/>
    </xf>
    <xf numFmtId="0" fontId="0" fillId="5" borderId="3" xfId="0" applyFill="1" applyBorder="1"/>
    <xf numFmtId="0" fontId="6" fillId="0" borderId="5" xfId="0" applyFont="1" applyBorder="1" applyAlignment="1">
      <alignment horizontal="center" vertical="center" wrapText="1"/>
    </xf>
    <xf numFmtId="49" fontId="6" fillId="5" borderId="5" xfId="0" applyNumberFormat="1" applyFont="1" applyFill="1" applyBorder="1" applyAlignment="1">
      <alignment horizontal="center" vertical="top" wrapText="1"/>
    </xf>
    <xf numFmtId="0" fontId="6" fillId="5" borderId="1" xfId="0" applyFont="1" applyFill="1" applyBorder="1" applyAlignment="1">
      <alignment horizontal="center" vertical="center" textRotation="90" wrapText="1"/>
    </xf>
    <xf numFmtId="0" fontId="0" fillId="5" borderId="5" xfId="0" applyFill="1" applyBorder="1" applyAlignment="1">
      <alignment horizontal="center" vertical="center" textRotation="90" wrapText="1"/>
    </xf>
    <xf numFmtId="0" fontId="0" fillId="0" borderId="9" xfId="0" applyBorder="1"/>
    <xf numFmtId="0" fontId="0" fillId="5" borderId="9" xfId="0" applyFill="1" applyBorder="1" applyAlignment="1">
      <alignment horizontal="center" vertical="top"/>
    </xf>
    <xf numFmtId="0" fontId="32" fillId="3" borderId="4" xfId="0" applyFont="1" applyFill="1" applyBorder="1" applyAlignment="1">
      <alignment horizontal="center" vertical="center" wrapText="1"/>
    </xf>
    <xf numFmtId="0" fontId="86" fillId="0" borderId="13" xfId="0" applyFont="1" applyBorder="1" applyAlignment="1">
      <alignment horizontal="center" vertical="center" wrapText="1"/>
    </xf>
    <xf numFmtId="0" fontId="86" fillId="0" borderId="2" xfId="0" applyFont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74" fillId="0" borderId="13" xfId="0" applyFont="1" applyBorder="1" applyAlignment="1">
      <alignment horizontal="center" vertical="center" wrapText="1"/>
    </xf>
    <xf numFmtId="0" fontId="74" fillId="0" borderId="2" xfId="0" applyFont="1" applyBorder="1" applyAlignment="1">
      <alignment horizontal="center" vertical="center" wrapText="1"/>
    </xf>
    <xf numFmtId="0" fontId="52" fillId="2" borderId="4" xfId="0" applyFont="1" applyFill="1" applyBorder="1" applyAlignment="1">
      <alignment horizontal="center" vertical="center" wrapText="1"/>
    </xf>
    <xf numFmtId="0" fontId="74" fillId="2" borderId="13" xfId="0" applyFont="1" applyFill="1" applyBorder="1" applyAlignment="1">
      <alignment horizontal="center" vertical="center" wrapText="1"/>
    </xf>
    <xf numFmtId="0" fontId="74" fillId="2" borderId="2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right" vertical="center" wrapText="1"/>
    </xf>
    <xf numFmtId="0" fontId="37" fillId="5" borderId="0" xfId="0" applyFont="1" applyFill="1" applyAlignment="1">
      <alignment horizontal="center" wrapText="1"/>
    </xf>
    <xf numFmtId="0" fontId="33" fillId="6" borderId="15" xfId="0" applyFont="1" applyFill="1" applyBorder="1" applyAlignment="1">
      <alignment horizontal="left"/>
    </xf>
    <xf numFmtId="0" fontId="17" fillId="0" borderId="13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17" fillId="0" borderId="5" xfId="0" applyFont="1" applyBorder="1" applyAlignment="1">
      <alignment horizontal="center" wrapText="1"/>
    </xf>
    <xf numFmtId="0" fontId="35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35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17" fillId="2" borderId="15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24" fillId="0" borderId="6" xfId="0" applyFont="1" applyBorder="1" applyAlignment="1">
      <alignment horizontal="right" vertical="center"/>
    </xf>
    <xf numFmtId="0" fontId="24" fillId="0" borderId="14" xfId="0" applyFont="1" applyBorder="1" applyAlignment="1">
      <alignment horizontal="right" vertical="center"/>
    </xf>
    <xf numFmtId="0" fontId="24" fillId="0" borderId="7" xfId="0" applyFont="1" applyBorder="1" applyAlignment="1">
      <alignment horizontal="right" vertical="center"/>
    </xf>
    <xf numFmtId="0" fontId="24" fillId="0" borderId="8" xfId="0" applyFont="1" applyBorder="1" applyAlignment="1">
      <alignment horizontal="right" vertical="center"/>
    </xf>
    <xf numFmtId="0" fontId="24" fillId="0" borderId="0" xfId="0" applyFont="1" applyAlignment="1">
      <alignment horizontal="right" vertical="center"/>
    </xf>
    <xf numFmtId="0" fontId="24" fillId="0" borderId="10" xfId="0" applyFont="1" applyBorder="1" applyAlignment="1">
      <alignment horizontal="right" vertical="center"/>
    </xf>
    <xf numFmtId="0" fontId="24" fillId="0" borderId="11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24" fillId="0" borderId="12" xfId="0" applyFont="1" applyBorder="1" applyAlignment="1">
      <alignment horizontal="right" vertical="center"/>
    </xf>
    <xf numFmtId="0" fontId="24" fillId="2" borderId="6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right" vertical="center"/>
    </xf>
    <xf numFmtId="0" fontId="24" fillId="5" borderId="14" xfId="0" applyFont="1" applyFill="1" applyBorder="1" applyAlignment="1">
      <alignment horizontal="right" vertical="center"/>
    </xf>
    <xf numFmtId="0" fontId="24" fillId="5" borderId="7" xfId="0" applyFont="1" applyFill="1" applyBorder="1" applyAlignment="1">
      <alignment horizontal="right" vertical="center"/>
    </xf>
    <xf numFmtId="0" fontId="24" fillId="5" borderId="8" xfId="0" applyFont="1" applyFill="1" applyBorder="1" applyAlignment="1">
      <alignment horizontal="right" vertical="center"/>
    </xf>
    <xf numFmtId="0" fontId="24" fillId="5" borderId="0" xfId="0" applyFont="1" applyFill="1" applyAlignment="1">
      <alignment horizontal="right" vertical="center"/>
    </xf>
    <xf numFmtId="0" fontId="24" fillId="5" borderId="10" xfId="0" applyFont="1" applyFill="1" applyBorder="1" applyAlignment="1">
      <alignment horizontal="right" vertical="center"/>
    </xf>
    <xf numFmtId="0" fontId="24" fillId="5" borderId="11" xfId="0" applyFont="1" applyFill="1" applyBorder="1" applyAlignment="1">
      <alignment horizontal="right" vertical="center"/>
    </xf>
    <xf numFmtId="0" fontId="24" fillId="5" borderId="15" xfId="0" applyFont="1" applyFill="1" applyBorder="1" applyAlignment="1">
      <alignment horizontal="right" vertical="center"/>
    </xf>
    <xf numFmtId="0" fontId="24" fillId="5" borderId="12" xfId="0" applyFont="1" applyFill="1" applyBorder="1" applyAlignment="1">
      <alignment horizontal="right" vertical="center"/>
    </xf>
    <xf numFmtId="0" fontId="4" fillId="0" borderId="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49" fontId="4" fillId="5" borderId="1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9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5" xfId="0" applyNumberFormat="1" applyFont="1" applyFill="1" applyBorder="1" applyAlignment="1" applyProtection="1">
      <alignment horizontal="center" vertical="center" wrapText="1"/>
      <protection hidden="1"/>
    </xf>
    <xf numFmtId="49" fontId="4" fillId="0" borderId="1" xfId="0" applyNumberFormat="1" applyFont="1" applyBorder="1" applyAlignment="1" applyProtection="1">
      <alignment horizontal="center" vertical="center" wrapText="1"/>
      <protection hidden="1"/>
    </xf>
    <xf numFmtId="49" fontId="4" fillId="0" borderId="9" xfId="0" applyNumberFormat="1" applyFont="1" applyBorder="1" applyAlignment="1" applyProtection="1">
      <alignment horizontal="center" vertical="center" wrapText="1"/>
      <protection hidden="1"/>
    </xf>
    <xf numFmtId="49" fontId="4" fillId="0" borderId="5" xfId="0" applyNumberFormat="1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>
      <alignment horizontal="center" vertical="center" textRotation="90" wrapText="1"/>
    </xf>
    <xf numFmtId="0" fontId="4" fillId="0" borderId="9" xfId="0" applyFont="1" applyBorder="1" applyAlignment="1">
      <alignment horizontal="center" vertical="center" textRotation="90" wrapText="1"/>
    </xf>
    <xf numFmtId="0" fontId="4" fillId="0" borderId="5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21" fillId="0" borderId="6" xfId="0" applyFont="1" applyBorder="1" applyAlignment="1">
      <alignment horizontal="right" vertical="center"/>
    </xf>
    <xf numFmtId="0" fontId="21" fillId="0" borderId="14" xfId="0" applyFont="1" applyBorder="1" applyAlignment="1">
      <alignment horizontal="right" vertical="center"/>
    </xf>
    <xf numFmtId="0" fontId="21" fillId="0" borderId="7" xfId="0" applyFont="1" applyBorder="1" applyAlignment="1">
      <alignment horizontal="right" vertical="center"/>
    </xf>
    <xf numFmtId="0" fontId="21" fillId="0" borderId="8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0" xfId="0" applyFont="1" applyBorder="1" applyAlignment="1">
      <alignment horizontal="right" vertical="center"/>
    </xf>
    <xf numFmtId="0" fontId="21" fillId="0" borderId="11" xfId="0" applyFont="1" applyBorder="1" applyAlignment="1">
      <alignment horizontal="right" vertical="center"/>
    </xf>
    <xf numFmtId="0" fontId="21" fillId="0" borderId="15" xfId="0" applyFont="1" applyBorder="1" applyAlignment="1">
      <alignment horizontal="right" vertical="center"/>
    </xf>
    <xf numFmtId="0" fontId="21" fillId="0" borderId="12" xfId="0" applyFont="1" applyBorder="1" applyAlignment="1">
      <alignment horizontal="right" vertical="center"/>
    </xf>
    <xf numFmtId="0" fontId="24" fillId="3" borderId="6" xfId="0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4" fillId="3" borderId="2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horizontal="center" vertical="center"/>
    </xf>
    <xf numFmtId="0" fontId="24" fillId="2" borderId="13" xfId="0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4" fillId="5" borderId="1" xfId="0" applyFont="1" applyFill="1" applyBorder="1" applyAlignment="1" applyProtection="1">
      <alignment horizontal="center" vertical="center" wrapText="1"/>
      <protection hidden="1"/>
    </xf>
    <xf numFmtId="0" fontId="4" fillId="5" borderId="9" xfId="0" applyFont="1" applyFill="1" applyBorder="1" applyAlignment="1" applyProtection="1">
      <alignment horizontal="center" vertical="center" wrapText="1"/>
      <protection hidden="1"/>
    </xf>
    <xf numFmtId="0" fontId="4" fillId="5" borderId="5" xfId="0" applyFont="1" applyFill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49" fontId="4" fillId="5" borderId="1" xfId="0" applyNumberFormat="1" applyFont="1" applyFill="1" applyBorder="1" applyAlignment="1" applyProtection="1">
      <alignment horizontal="center" vertical="center"/>
      <protection hidden="1"/>
    </xf>
    <xf numFmtId="49" fontId="4" fillId="5" borderId="9" xfId="0" applyNumberFormat="1" applyFont="1" applyFill="1" applyBorder="1" applyAlignment="1" applyProtection="1">
      <alignment horizontal="center" vertical="center"/>
      <protection hidden="1"/>
    </xf>
    <xf numFmtId="49" fontId="4" fillId="5" borderId="5" xfId="0" applyNumberFormat="1" applyFont="1" applyFill="1" applyBorder="1" applyAlignment="1" applyProtection="1">
      <alignment horizontal="center" vertical="center"/>
      <protection hidden="1"/>
    </xf>
    <xf numFmtId="0" fontId="4" fillId="5" borderId="1" xfId="0" applyFont="1" applyFill="1" applyBorder="1" applyAlignment="1" applyProtection="1">
      <alignment horizontal="center" vertical="center"/>
      <protection hidden="1"/>
    </xf>
    <xf numFmtId="0" fontId="4" fillId="5" borderId="9" xfId="0" applyFont="1" applyFill="1" applyBorder="1" applyAlignment="1" applyProtection="1">
      <alignment horizontal="center" vertical="center"/>
      <protection hidden="1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24" fillId="3" borderId="4" xfId="0" applyFont="1" applyFill="1" applyBorder="1" applyAlignment="1">
      <alignment horizontal="center" vertical="center"/>
    </xf>
    <xf numFmtId="0" fontId="17" fillId="0" borderId="0" xfId="0" applyFont="1"/>
    <xf numFmtId="0" fontId="37" fillId="3" borderId="6" xfId="0" applyFont="1" applyFill="1" applyBorder="1" applyAlignment="1">
      <alignment horizontal="center" vertical="center"/>
    </xf>
    <xf numFmtId="0" fontId="37" fillId="3" borderId="15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52" fillId="3" borderId="4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13" xfId="0" applyFont="1" applyFill="1" applyBorder="1" applyAlignment="1">
      <alignment horizontal="center"/>
    </xf>
    <xf numFmtId="0" fontId="14" fillId="2" borderId="14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center"/>
    </xf>
    <xf numFmtId="0" fontId="28" fillId="0" borderId="6" xfId="0" applyFont="1" applyBorder="1" applyAlignment="1">
      <alignment horizontal="right" vertical="center"/>
    </xf>
    <xf numFmtId="0" fontId="28" fillId="0" borderId="14" xfId="0" applyFont="1" applyBorder="1" applyAlignment="1">
      <alignment horizontal="right" vertical="center"/>
    </xf>
    <xf numFmtId="0" fontId="28" fillId="0" borderId="7" xfId="0" applyFont="1" applyBorder="1" applyAlignment="1">
      <alignment horizontal="right" vertical="center"/>
    </xf>
    <xf numFmtId="0" fontId="28" fillId="0" borderId="8" xfId="0" applyFont="1" applyBorder="1" applyAlignment="1">
      <alignment horizontal="right" vertical="center"/>
    </xf>
    <xf numFmtId="0" fontId="28" fillId="0" borderId="0" xfId="0" applyFont="1" applyAlignment="1">
      <alignment horizontal="right" vertical="center"/>
    </xf>
    <xf numFmtId="0" fontId="28" fillId="0" borderId="10" xfId="0" applyFont="1" applyBorder="1" applyAlignment="1">
      <alignment horizontal="right" vertical="center"/>
    </xf>
    <xf numFmtId="0" fontId="28" fillId="0" borderId="11" xfId="0" applyFont="1" applyBorder="1" applyAlignment="1">
      <alignment horizontal="right" vertical="center"/>
    </xf>
    <xf numFmtId="0" fontId="28" fillId="0" borderId="15" xfId="0" applyFont="1" applyBorder="1" applyAlignment="1">
      <alignment horizontal="right" vertical="center"/>
    </xf>
    <xf numFmtId="0" fontId="28" fillId="0" borderId="12" xfId="0" applyFont="1" applyBorder="1" applyAlignment="1">
      <alignment horizontal="right" vertical="center"/>
    </xf>
    <xf numFmtId="0" fontId="17" fillId="0" borderId="1" xfId="0" applyFont="1" applyBorder="1" applyAlignment="1" applyProtection="1">
      <alignment horizontal="center" vertical="center"/>
      <protection hidden="1"/>
    </xf>
    <xf numFmtId="0" fontId="17" fillId="0" borderId="9" xfId="0" applyFont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vertical="center"/>
      <protection hidden="1"/>
    </xf>
    <xf numFmtId="0" fontId="35" fillId="0" borderId="15" xfId="0" applyFont="1" applyBorder="1" applyAlignment="1">
      <alignment horizontal="left"/>
    </xf>
    <xf numFmtId="49" fontId="17" fillId="5" borderId="1" xfId="0" applyNumberFormat="1" applyFont="1" applyFill="1" applyBorder="1" applyAlignment="1" applyProtection="1">
      <alignment horizontal="center" vertical="center" wrapText="1"/>
      <protection hidden="1"/>
    </xf>
    <xf numFmtId="49" fontId="17" fillId="5" borderId="9" xfId="0" applyNumberFormat="1" applyFont="1" applyFill="1" applyBorder="1" applyAlignment="1" applyProtection="1">
      <alignment horizontal="center" vertical="center" wrapText="1"/>
      <protection hidden="1"/>
    </xf>
    <xf numFmtId="49" fontId="17" fillId="5" borderId="5" xfId="0" applyNumberFormat="1" applyFont="1" applyFill="1" applyBorder="1" applyAlignment="1" applyProtection="1">
      <alignment horizontal="center" vertical="center" wrapText="1"/>
      <protection hidden="1"/>
    </xf>
    <xf numFmtId="49" fontId="17" fillId="0" borderId="1" xfId="0" applyNumberFormat="1" applyFont="1" applyBorder="1" applyAlignment="1" applyProtection="1">
      <alignment horizontal="center" vertical="center" wrapText="1"/>
      <protection hidden="1"/>
    </xf>
    <xf numFmtId="49" fontId="17" fillId="0" borderId="9" xfId="0" applyNumberFormat="1" applyFont="1" applyBorder="1" applyAlignment="1" applyProtection="1">
      <alignment horizontal="center" vertical="center" wrapText="1"/>
      <protection hidden="1"/>
    </xf>
    <xf numFmtId="49" fontId="17" fillId="0" borderId="5" xfId="0" applyNumberFormat="1" applyFont="1" applyBorder="1" applyAlignment="1" applyProtection="1">
      <alignment horizontal="center" vertical="center" wrapText="1"/>
      <protection hidden="1"/>
    </xf>
    <xf numFmtId="0" fontId="17" fillId="0" borderId="9" xfId="0" applyFont="1" applyBorder="1" applyAlignment="1">
      <alignment horizontal="center" vertical="center" wrapText="1"/>
    </xf>
    <xf numFmtId="0" fontId="17" fillId="5" borderId="3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5" borderId="9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0" fontId="17" fillId="5" borderId="6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11" xfId="0" applyFont="1" applyFill="1" applyBorder="1" applyAlignment="1">
      <alignment horizontal="center" vertical="center"/>
    </xf>
    <xf numFmtId="0" fontId="17" fillId="5" borderId="12" xfId="0" applyFont="1" applyFill="1" applyBorder="1" applyAlignment="1">
      <alignment horizontal="center" vertical="center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17" fillId="0" borderId="9" xfId="0" applyFont="1" applyBorder="1" applyAlignment="1" applyProtection="1">
      <alignment horizontal="center" vertical="center" wrapText="1"/>
      <protection hidden="1"/>
    </xf>
    <xf numFmtId="0" fontId="17" fillId="0" borderId="5" xfId="0" applyFont="1" applyBorder="1" applyAlignment="1" applyProtection="1">
      <alignment horizontal="center" vertical="center" wrapText="1"/>
      <protection hidden="1"/>
    </xf>
    <xf numFmtId="49" fontId="17" fillId="0" borderId="1" xfId="0" applyNumberFormat="1" applyFont="1" applyBorder="1" applyAlignment="1" applyProtection="1">
      <alignment horizontal="center" vertical="center"/>
      <protection hidden="1"/>
    </xf>
    <xf numFmtId="49" fontId="17" fillId="0" borderId="9" xfId="0" applyNumberFormat="1" applyFont="1" applyBorder="1" applyAlignment="1" applyProtection="1">
      <alignment horizontal="center" vertical="center"/>
      <protection hidden="1"/>
    </xf>
    <xf numFmtId="49" fontId="17" fillId="0" borderId="5" xfId="0" applyNumberFormat="1" applyFont="1" applyBorder="1" applyAlignment="1" applyProtection="1">
      <alignment horizontal="center" vertical="center"/>
      <protection hidden="1"/>
    </xf>
    <xf numFmtId="0" fontId="56" fillId="5" borderId="0" xfId="0" applyFont="1" applyFill="1" applyAlignment="1">
      <alignment horizontal="center" wrapText="1"/>
    </xf>
    <xf numFmtId="0" fontId="57" fillId="0" borderId="0" xfId="0" applyFont="1" applyAlignment="1">
      <alignment horizontal="left" wrapText="1"/>
    </xf>
    <xf numFmtId="0" fontId="47" fillId="0" borderId="0" xfId="0" applyFont="1" applyAlignment="1">
      <alignment horizontal="left"/>
    </xf>
    <xf numFmtId="0" fontId="47" fillId="0" borderId="0" xfId="0" applyFont="1" applyAlignment="1">
      <alignment horizontal="left" wrapText="1"/>
    </xf>
    <xf numFmtId="0" fontId="57" fillId="5" borderId="0" xfId="0" applyFont="1" applyFill="1" applyAlignment="1">
      <alignment horizontal="left" vertical="center" wrapText="1"/>
    </xf>
    <xf numFmtId="0" fontId="52" fillId="5" borderId="0" xfId="0" applyFont="1" applyFill="1" applyAlignment="1">
      <alignment vertical="center" wrapText="1"/>
    </xf>
    <xf numFmtId="0" fontId="8" fillId="5" borderId="0" xfId="0" applyFont="1" applyFill="1" applyAlignment="1">
      <alignment horizontal="center"/>
    </xf>
    <xf numFmtId="0" fontId="13" fillId="0" borderId="8" xfId="0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10" xfId="0" applyFont="1" applyBorder="1" applyAlignment="1">
      <alignment horizontal="right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7" fillId="5" borderId="1" xfId="0" applyFont="1" applyFill="1" applyBorder="1" applyAlignment="1" applyProtection="1">
      <alignment horizontal="center" vertical="center" wrapText="1"/>
      <protection hidden="1"/>
    </xf>
    <xf numFmtId="0" fontId="17" fillId="5" borderId="9" xfId="0" applyFont="1" applyFill="1" applyBorder="1" applyAlignment="1" applyProtection="1">
      <alignment horizontal="center" vertical="center" wrapText="1"/>
      <protection hidden="1"/>
    </xf>
    <xf numFmtId="0" fontId="17" fillId="5" borderId="5" xfId="0" applyFont="1" applyFill="1" applyBorder="1" applyAlignment="1" applyProtection="1">
      <alignment horizontal="center" vertical="center" wrapText="1"/>
      <protection hidden="1"/>
    </xf>
    <xf numFmtId="49" fontId="17" fillId="5" borderId="1" xfId="0" applyNumberFormat="1" applyFont="1" applyFill="1" applyBorder="1" applyAlignment="1" applyProtection="1">
      <alignment horizontal="center" vertical="center"/>
      <protection hidden="1"/>
    </xf>
    <xf numFmtId="49" fontId="17" fillId="5" borderId="9" xfId="0" applyNumberFormat="1" applyFont="1" applyFill="1" applyBorder="1" applyAlignment="1" applyProtection="1">
      <alignment horizontal="center" vertical="center"/>
      <protection hidden="1"/>
    </xf>
    <xf numFmtId="49" fontId="17" fillId="5" borderId="5" xfId="0" applyNumberFormat="1" applyFont="1" applyFill="1" applyBorder="1" applyAlignment="1" applyProtection="1">
      <alignment horizontal="center" vertical="center"/>
      <protection hidden="1"/>
    </xf>
    <xf numFmtId="0" fontId="17" fillId="5" borderId="1" xfId="0" applyFont="1" applyFill="1" applyBorder="1" applyAlignment="1" applyProtection="1">
      <alignment horizontal="center" vertical="center"/>
      <protection hidden="1"/>
    </xf>
    <xf numFmtId="0" fontId="17" fillId="5" borderId="9" xfId="0" applyFont="1" applyFill="1" applyBorder="1" applyAlignment="1" applyProtection="1">
      <alignment horizontal="center" vertical="center"/>
      <protection hidden="1"/>
    </xf>
    <xf numFmtId="0" fontId="17" fillId="5" borderId="5" xfId="0" applyFont="1" applyFill="1" applyBorder="1" applyAlignment="1" applyProtection="1">
      <alignment horizontal="center" vertical="center"/>
      <protection hidden="1"/>
    </xf>
    <xf numFmtId="166" fontId="17" fillId="5" borderId="1" xfId="0" applyNumberFormat="1" applyFont="1" applyFill="1" applyBorder="1" applyAlignment="1" applyProtection="1">
      <alignment horizontal="center" vertical="center"/>
      <protection hidden="1"/>
    </xf>
    <xf numFmtId="166" fontId="17" fillId="5" borderId="9" xfId="0" applyNumberFormat="1" applyFont="1" applyFill="1" applyBorder="1" applyAlignment="1" applyProtection="1">
      <alignment horizontal="center" vertical="center"/>
      <protection hidden="1"/>
    </xf>
    <xf numFmtId="166" fontId="17" fillId="5" borderId="5" xfId="0" applyNumberFormat="1" applyFont="1" applyFill="1" applyBorder="1" applyAlignment="1" applyProtection="1">
      <alignment horizontal="center" vertical="center"/>
      <protection hidden="1"/>
    </xf>
    <xf numFmtId="0" fontId="5" fillId="3" borderId="4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 wrapText="1"/>
    </xf>
  </cellXfs>
  <cellStyles count="8">
    <cellStyle name="Итоги_текст" xfId="2" xr:uid="{00000000-0005-0000-0000-000000000000}"/>
    <cellStyle name="мой новый" xfId="3" xr:uid="{00000000-0005-0000-0000-000001000000}"/>
    <cellStyle name="Обычный" xfId="0" builtinId="0"/>
    <cellStyle name="Обычный 2" xfId="1" xr:uid="{00000000-0005-0000-0000-000003000000}"/>
    <cellStyle name="Подзаголовок" xfId="4" xr:uid="{00000000-0005-0000-0000-000004000000}"/>
    <cellStyle name="Подзаголовок 2" xfId="6" xr:uid="{00000000-0005-0000-0000-000005000000}"/>
    <cellStyle name="Примечание 2" xfId="5" xr:uid="{00000000-0005-0000-0000-000006000000}"/>
    <cellStyle name="Примечание 3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42</xdr:row>
          <xdr:rowOff>200025</xdr:rowOff>
        </xdr:from>
        <xdr:to>
          <xdr:col>2</xdr:col>
          <xdr:colOff>95250</xdr:colOff>
          <xdr:row>47</xdr:row>
          <xdr:rowOff>76200</xdr:rowOff>
        </xdr:to>
        <xdr:sp macro="" textlink="">
          <xdr:nvSpPr>
            <xdr:cNvPr id="27650" name="Object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0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344365</xdr:colOff>
      <xdr:row>0</xdr:row>
      <xdr:rowOff>87923</xdr:rowOff>
    </xdr:from>
    <xdr:to>
      <xdr:col>8</xdr:col>
      <xdr:colOff>200025</xdr:colOff>
      <xdr:row>2</xdr:row>
      <xdr:rowOff>139213</xdr:rowOff>
    </xdr:to>
    <xdr:pic>
      <xdr:nvPicPr>
        <xdr:cNvPr id="2" name="Рисунок 22" descr="\\polymetal.ru\poly\Storage\39-УМК\Общая папка\Новый логотип\project_docs.jpg">
          <a:extLst>
            <a:ext uri="{FF2B5EF4-FFF2-40B4-BE49-F238E27FC236}">
              <a16:creationId xmlns:a16="http://schemas.microsoft.com/office/drawing/2014/main" id="{93E45EDA-CA71-234D-76F4-77549B8A1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2923" y="87923"/>
          <a:ext cx="1797294" cy="432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61</xdr:row>
      <xdr:rowOff>199307</xdr:rowOff>
    </xdr:from>
    <xdr:to>
      <xdr:col>12</xdr:col>
      <xdr:colOff>542924</xdr:colOff>
      <xdr:row>77</xdr:row>
      <xdr:rowOff>95251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D03A84B-59C4-D1D7-F479-D005A1B72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24" t="46784" r="8124" b="14417"/>
        <a:stretch>
          <a:fillRect/>
        </a:stretch>
      </xdr:blipFill>
      <xdr:spPr bwMode="auto">
        <a:xfrm>
          <a:off x="0" y="14467757"/>
          <a:ext cx="5819774" cy="39916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104775</xdr:colOff>
      <xdr:row>88</xdr:row>
      <xdr:rowOff>66675</xdr:rowOff>
    </xdr:from>
    <xdr:to>
      <xdr:col>8</xdr:col>
      <xdr:colOff>428625</xdr:colOff>
      <xdr:row>90</xdr:row>
      <xdr:rowOff>85725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E3E3E57-A09F-362A-38CB-865B826B12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073" t="19457" r="31374" b="74484"/>
        <a:stretch>
          <a:fillRect/>
        </a:stretch>
      </xdr:blipFill>
      <xdr:spPr bwMode="auto">
        <a:xfrm>
          <a:off x="3095625" y="21050250"/>
          <a:ext cx="923925" cy="495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85725</xdr:colOff>
      <xdr:row>91</xdr:row>
      <xdr:rowOff>190500</xdr:rowOff>
    </xdr:from>
    <xdr:to>
      <xdr:col>8</xdr:col>
      <xdr:colOff>231775</xdr:colOff>
      <xdr:row>93</xdr:row>
      <xdr:rowOff>161925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7D4C3E3-F40B-3AA0-4087-F3753D731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723" t="25749" r="30251" b="69008"/>
        <a:stretch>
          <a:fillRect/>
        </a:stretch>
      </xdr:blipFill>
      <xdr:spPr bwMode="auto">
        <a:xfrm>
          <a:off x="3076575" y="21888450"/>
          <a:ext cx="746125" cy="4476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51"/>
  <sheetViews>
    <sheetView tabSelected="1" view="pageBreakPreview" topLeftCell="A84" zoomScaleNormal="100" zoomScaleSheetLayoutView="100" workbookViewId="0">
      <selection activeCell="M100" sqref="M100"/>
    </sheetView>
  </sheetViews>
  <sheetFormatPr defaultColWidth="6.7109375" defaultRowHeight="18.75" x14ac:dyDescent="0.3"/>
  <cols>
    <col min="1" max="1" width="4.5703125" style="355" customWidth="1"/>
    <col min="2" max="7" width="6.7109375" style="445"/>
    <col min="8" max="8" width="9" style="445" customWidth="1"/>
    <col min="9" max="9" width="6.7109375" style="445"/>
    <col min="10" max="10" width="3.7109375" style="445" customWidth="1"/>
    <col min="11" max="11" width="6.42578125" style="445" customWidth="1"/>
    <col min="12" max="12" width="8.42578125" style="433" customWidth="1"/>
    <col min="13" max="13" width="8.5703125" style="310" customWidth="1"/>
    <col min="14" max="16384" width="6.7109375" style="310"/>
  </cols>
  <sheetData>
    <row r="1" spans="1:13" s="465" customFormat="1" ht="15" x14ac:dyDescent="0.25">
      <c r="B1" s="971"/>
      <c r="C1" s="971"/>
      <c r="D1" s="971"/>
      <c r="E1" s="971"/>
      <c r="F1" s="971"/>
      <c r="G1" s="971"/>
      <c r="H1" s="971"/>
      <c r="I1" s="971"/>
      <c r="J1" s="971"/>
      <c r="K1" s="971"/>
      <c r="L1" s="971"/>
      <c r="M1" s="971"/>
    </row>
    <row r="2" spans="1:13" s="465" customFormat="1" ht="15" x14ac:dyDescent="0.25">
      <c r="B2" s="971"/>
      <c r="C2" s="971"/>
      <c r="D2" s="971"/>
      <c r="E2" s="971"/>
      <c r="F2" s="971"/>
      <c r="G2" s="971"/>
      <c r="H2" s="971"/>
      <c r="I2" s="971"/>
      <c r="J2" s="971"/>
      <c r="K2" s="971"/>
      <c r="L2" s="971"/>
      <c r="M2" s="971"/>
    </row>
    <row r="3" spans="1:13" s="465" customFormat="1" ht="15" x14ac:dyDescent="0.25">
      <c r="B3" s="971"/>
      <c r="C3" s="971"/>
      <c r="D3" s="971"/>
      <c r="E3" s="971"/>
      <c r="F3" s="971"/>
      <c r="G3" s="971"/>
      <c r="H3" s="971"/>
      <c r="I3" s="971"/>
      <c r="J3" s="971"/>
      <c r="K3" s="971"/>
      <c r="L3" s="971"/>
      <c r="M3" s="971"/>
    </row>
    <row r="4" spans="1:13" s="465" customFormat="1" ht="15" x14ac:dyDescent="0.25">
      <c r="B4" s="971"/>
      <c r="C4" s="971"/>
      <c r="D4" s="971"/>
      <c r="E4" s="971"/>
      <c r="F4" s="971"/>
      <c r="G4" s="971"/>
      <c r="H4" s="971"/>
      <c r="I4" s="971"/>
      <c r="J4" s="971"/>
      <c r="K4" s="971"/>
      <c r="L4" s="971"/>
      <c r="M4" s="971"/>
    </row>
    <row r="5" spans="1:13" s="468" customFormat="1" ht="16.5" x14ac:dyDescent="0.25">
      <c r="B5" s="982" t="s">
        <v>1402</v>
      </c>
      <c r="C5" s="982"/>
      <c r="D5" s="982"/>
      <c r="E5" s="982"/>
      <c r="F5" s="982"/>
      <c r="G5" s="982"/>
      <c r="H5" s="982"/>
      <c r="I5" s="982"/>
      <c r="J5" s="982"/>
      <c r="K5" s="982"/>
      <c r="L5" s="982"/>
      <c r="M5" s="499"/>
    </row>
    <row r="7" spans="1:13" s="441" customFormat="1" x14ac:dyDescent="0.3">
      <c r="A7" s="440"/>
      <c r="B7" s="452"/>
      <c r="C7" s="452"/>
      <c r="D7" s="452"/>
      <c r="E7" s="452"/>
      <c r="F7" s="452"/>
      <c r="G7" s="452"/>
      <c r="H7" s="452"/>
      <c r="I7" s="452"/>
      <c r="J7" s="452"/>
      <c r="K7" s="452"/>
      <c r="L7" s="453"/>
    </row>
    <row r="11" spans="1:13" s="441" customFormat="1" x14ac:dyDescent="0.3">
      <c r="A11" s="440"/>
      <c r="B11" s="452"/>
      <c r="C11" s="452"/>
      <c r="D11" s="452"/>
      <c r="E11" s="452"/>
      <c r="F11" s="452"/>
      <c r="G11" s="452"/>
      <c r="H11" s="452"/>
      <c r="I11" s="452"/>
      <c r="J11" s="452"/>
      <c r="K11" s="452"/>
      <c r="L11" s="453"/>
    </row>
    <row r="12" spans="1:13" s="61" customFormat="1" ht="19.5" x14ac:dyDescent="0.3">
      <c r="A12" s="498"/>
      <c r="B12" s="981" t="s">
        <v>1406</v>
      </c>
      <c r="C12" s="981"/>
      <c r="D12" s="981"/>
      <c r="E12" s="981"/>
      <c r="F12" s="981"/>
      <c r="G12" s="981"/>
      <c r="H12" s="981"/>
      <c r="I12" s="981"/>
      <c r="J12" s="981"/>
      <c r="K12" s="981"/>
      <c r="L12" s="981"/>
      <c r="M12" s="498"/>
    </row>
    <row r="13" spans="1:13" s="463" customFormat="1" ht="11.25" customHeight="1" x14ac:dyDescent="0.3">
      <c r="A13" s="974"/>
      <c r="B13" s="974"/>
      <c r="C13" s="974"/>
      <c r="D13" s="974"/>
      <c r="E13" s="974"/>
      <c r="F13" s="974"/>
      <c r="G13" s="974"/>
      <c r="H13" s="974"/>
      <c r="I13" s="974"/>
      <c r="J13" s="974"/>
      <c r="K13" s="974"/>
      <c r="L13" s="974"/>
      <c r="M13" s="974"/>
    </row>
    <row r="14" spans="1:13" s="464" customFormat="1" ht="40.5" customHeight="1" x14ac:dyDescent="0.3">
      <c r="A14" s="985" t="s">
        <v>1148</v>
      </c>
      <c r="B14" s="985"/>
      <c r="C14" s="985"/>
      <c r="D14" s="985"/>
      <c r="E14" s="985"/>
      <c r="F14" s="985"/>
      <c r="G14" s="985"/>
      <c r="H14" s="985"/>
      <c r="I14" s="985"/>
      <c r="J14" s="985"/>
      <c r="K14" s="985"/>
      <c r="L14" s="985"/>
      <c r="M14" s="985"/>
    </row>
    <row r="15" spans="1:13" s="441" customFormat="1" ht="16.5" customHeight="1" x14ac:dyDescent="0.3">
      <c r="A15" s="466"/>
      <c r="B15" s="466"/>
      <c r="C15" s="466"/>
      <c r="D15" s="466"/>
      <c r="E15" s="466"/>
      <c r="F15" s="466"/>
      <c r="G15" s="466"/>
      <c r="H15" s="466"/>
      <c r="I15" s="466"/>
      <c r="J15" s="466"/>
      <c r="K15" s="466"/>
      <c r="L15" s="466"/>
      <c r="M15" s="466"/>
    </row>
    <row r="16" spans="1:13" s="441" customFormat="1" ht="18" customHeight="1" x14ac:dyDescent="0.3">
      <c r="A16" s="462"/>
      <c r="B16" s="984" t="s">
        <v>1403</v>
      </c>
      <c r="C16" s="984"/>
      <c r="D16" s="984"/>
      <c r="E16" s="984"/>
      <c r="F16" s="984"/>
      <c r="G16" s="984"/>
      <c r="H16" s="984"/>
      <c r="I16" s="984"/>
      <c r="J16" s="984"/>
      <c r="K16" s="984"/>
      <c r="L16" s="984"/>
      <c r="M16" s="462"/>
    </row>
    <row r="17" spans="1:13" s="441" customFormat="1" ht="18" customHeight="1" x14ac:dyDescent="0.3">
      <c r="A17" s="462"/>
      <c r="B17" s="462"/>
      <c r="C17" s="462"/>
      <c r="D17" s="462"/>
      <c r="E17" s="462"/>
      <c r="F17" s="462"/>
      <c r="G17" s="462"/>
      <c r="H17" s="462"/>
      <c r="I17" s="462"/>
      <c r="J17" s="462"/>
      <c r="K17" s="462"/>
      <c r="L17" s="462"/>
      <c r="M17" s="462"/>
    </row>
    <row r="18" spans="1:13" s="61" customFormat="1" x14ac:dyDescent="0.3">
      <c r="A18" s="974" t="s">
        <v>1404</v>
      </c>
      <c r="B18" s="974"/>
      <c r="C18" s="974"/>
      <c r="D18" s="974"/>
      <c r="E18" s="974"/>
      <c r="F18" s="974"/>
      <c r="G18" s="974"/>
      <c r="H18" s="974"/>
      <c r="I18" s="974"/>
      <c r="J18" s="974"/>
      <c r="K18" s="974"/>
      <c r="L18" s="974"/>
      <c r="M18" s="974"/>
    </row>
    <row r="19" spans="1:13" s="61" customFormat="1" ht="11.25" customHeight="1" x14ac:dyDescent="0.3">
      <c r="A19" s="354"/>
      <c r="B19" s="354"/>
      <c r="C19" s="354"/>
      <c r="D19" s="354"/>
      <c r="E19" s="354"/>
      <c r="F19" s="354"/>
      <c r="G19" s="354"/>
      <c r="H19" s="354"/>
      <c r="I19" s="354"/>
      <c r="J19" s="354"/>
      <c r="K19" s="354"/>
      <c r="L19" s="354"/>
      <c r="M19" s="354"/>
    </row>
    <row r="20" spans="1:13" s="61" customFormat="1" x14ac:dyDescent="0.3">
      <c r="A20" s="354"/>
      <c r="B20" s="974" t="s">
        <v>1405</v>
      </c>
      <c r="C20" s="974"/>
      <c r="D20" s="974"/>
      <c r="E20" s="974"/>
      <c r="F20" s="974"/>
      <c r="G20" s="974"/>
      <c r="H20" s="974"/>
      <c r="I20" s="974"/>
      <c r="J20" s="974"/>
      <c r="K20" s="974"/>
      <c r="L20" s="974"/>
      <c r="M20" s="354"/>
    </row>
    <row r="21" spans="1:13" s="61" customFormat="1" x14ac:dyDescent="0.3">
      <c r="A21" s="354"/>
      <c r="B21" s="354"/>
      <c r="C21" s="354"/>
      <c r="D21" s="354"/>
      <c r="E21" s="354"/>
      <c r="F21" s="354"/>
      <c r="G21" s="354"/>
      <c r="H21" s="354"/>
      <c r="I21" s="354"/>
      <c r="J21" s="354"/>
      <c r="K21" s="354"/>
      <c r="L21" s="354"/>
      <c r="M21" s="354"/>
    </row>
    <row r="22" spans="1:13" s="441" customFormat="1" ht="20.25" x14ac:dyDescent="0.3">
      <c r="A22" s="976" t="s">
        <v>1080</v>
      </c>
      <c r="B22" s="976"/>
      <c r="C22" s="976"/>
      <c r="D22" s="976"/>
      <c r="E22" s="976"/>
      <c r="F22" s="976"/>
      <c r="G22" s="976"/>
      <c r="H22" s="976"/>
      <c r="I22" s="976"/>
      <c r="J22" s="976"/>
      <c r="K22" s="976"/>
      <c r="L22" s="976"/>
      <c r="M22" s="976"/>
    </row>
    <row r="23" spans="1:13" s="441" customFormat="1" ht="20.25" x14ac:dyDescent="0.3">
      <c r="A23" s="484"/>
      <c r="B23" s="484"/>
      <c r="C23" s="484"/>
      <c r="D23" s="484"/>
      <c r="E23" s="484"/>
      <c r="F23" s="484"/>
      <c r="G23" s="484"/>
      <c r="H23" s="484"/>
      <c r="I23" s="484"/>
      <c r="J23" s="484"/>
      <c r="K23" s="484"/>
      <c r="L23" s="484"/>
      <c r="M23" s="484"/>
    </row>
    <row r="24" spans="1:13" s="464" customFormat="1" ht="20.25" x14ac:dyDescent="0.3">
      <c r="A24" s="983" t="s">
        <v>1522</v>
      </c>
      <c r="B24" s="983"/>
      <c r="C24" s="983"/>
      <c r="D24" s="983"/>
      <c r="E24" s="983"/>
      <c r="F24" s="983"/>
      <c r="G24" s="983"/>
      <c r="H24" s="983"/>
      <c r="I24" s="983"/>
      <c r="J24" s="983"/>
      <c r="K24" s="983"/>
      <c r="L24" s="983"/>
      <c r="M24" s="983"/>
    </row>
    <row r="25" spans="1:13" s="500" customFormat="1" ht="18" customHeight="1" x14ac:dyDescent="0.3">
      <c r="A25" s="983" t="s">
        <v>1091</v>
      </c>
      <c r="B25" s="983"/>
      <c r="C25" s="983"/>
      <c r="D25" s="983"/>
      <c r="E25" s="983"/>
      <c r="F25" s="983"/>
      <c r="G25" s="983"/>
      <c r="H25" s="983"/>
      <c r="I25" s="983"/>
      <c r="J25" s="983"/>
      <c r="K25" s="983"/>
      <c r="L25" s="983"/>
      <c r="M25" s="983"/>
    </row>
    <row r="26" spans="1:13" s="501" customFormat="1" ht="20.25" x14ac:dyDescent="0.3">
      <c r="A26" s="976" t="s">
        <v>1081</v>
      </c>
      <c r="B26" s="976"/>
      <c r="C26" s="976"/>
      <c r="D26" s="976"/>
      <c r="E26" s="976"/>
      <c r="F26" s="976"/>
      <c r="G26" s="976"/>
      <c r="H26" s="976"/>
      <c r="I26" s="976"/>
      <c r="J26" s="976"/>
      <c r="K26" s="976"/>
      <c r="L26" s="976"/>
      <c r="M26" s="976"/>
    </row>
    <row r="31" spans="1:13" s="447" customFormat="1" x14ac:dyDescent="0.3">
      <c r="A31" s="446"/>
      <c r="B31" s="454"/>
      <c r="C31" s="454"/>
      <c r="D31" s="454"/>
      <c r="E31" s="454"/>
      <c r="F31" s="454"/>
      <c r="G31" s="454"/>
      <c r="H31" s="454"/>
      <c r="I31" s="454"/>
      <c r="J31" s="454"/>
      <c r="K31" s="454"/>
      <c r="L31" s="455"/>
    </row>
    <row r="32" spans="1:13" s="447" customFormat="1" x14ac:dyDescent="0.3">
      <c r="A32" s="446"/>
      <c r="B32" s="454"/>
      <c r="C32" s="454"/>
      <c r="D32" s="454"/>
      <c r="E32" s="454"/>
      <c r="F32" s="454"/>
      <c r="G32" s="454"/>
      <c r="H32" s="454"/>
      <c r="I32" s="456"/>
      <c r="J32" s="456"/>
      <c r="K32" s="456"/>
      <c r="L32" s="457"/>
      <c r="M32" s="448"/>
    </row>
    <row r="33" spans="1:13" s="447" customFormat="1" x14ac:dyDescent="0.3">
      <c r="A33" s="446"/>
      <c r="B33" s="454"/>
      <c r="C33" s="454"/>
      <c r="D33" s="454"/>
      <c r="E33" s="454"/>
      <c r="F33" s="454"/>
      <c r="G33" s="454"/>
      <c r="H33" s="454"/>
      <c r="I33" s="454"/>
      <c r="J33" s="454"/>
      <c r="K33" s="454"/>
      <c r="L33" s="455"/>
    </row>
    <row r="37" spans="1:13" x14ac:dyDescent="0.3">
      <c r="I37" s="433"/>
      <c r="J37" s="433"/>
      <c r="K37" s="433"/>
    </row>
    <row r="38" spans="1:13" x14ac:dyDescent="0.3">
      <c r="I38" s="443"/>
      <c r="J38" s="433"/>
      <c r="K38" s="443"/>
      <c r="M38" s="433"/>
    </row>
    <row r="42" spans="1:13" ht="22.5" customHeight="1" x14ac:dyDescent="0.3"/>
    <row r="43" spans="1:13" s="435" customFormat="1" ht="15.75" x14ac:dyDescent="0.25">
      <c r="A43" s="978">
        <v>2025</v>
      </c>
      <c r="B43" s="978"/>
      <c r="C43" s="978"/>
      <c r="D43" s="978"/>
      <c r="E43" s="978"/>
      <c r="F43" s="978"/>
      <c r="G43" s="978"/>
      <c r="H43" s="978"/>
      <c r="I43" s="978"/>
      <c r="J43" s="978"/>
      <c r="K43" s="978"/>
      <c r="L43" s="978"/>
      <c r="M43" s="978"/>
    </row>
    <row r="44" spans="1:13" s="465" customFormat="1" ht="15" x14ac:dyDescent="0.25">
      <c r="B44" s="971" t="s">
        <v>1077</v>
      </c>
      <c r="C44" s="971"/>
      <c r="D44" s="971"/>
      <c r="E44" s="971"/>
      <c r="F44" s="971"/>
      <c r="G44" s="971"/>
      <c r="H44" s="971"/>
      <c r="I44" s="971"/>
      <c r="J44" s="971"/>
      <c r="K44" s="971"/>
      <c r="L44" s="971"/>
      <c r="M44" s="971"/>
    </row>
    <row r="45" spans="1:13" s="465" customFormat="1" ht="15" x14ac:dyDescent="0.25">
      <c r="B45" s="971" t="s">
        <v>1078</v>
      </c>
      <c r="C45" s="971"/>
      <c r="D45" s="971"/>
      <c r="E45" s="971"/>
      <c r="F45" s="971"/>
      <c r="G45" s="971"/>
      <c r="H45" s="971"/>
      <c r="I45" s="971"/>
      <c r="J45" s="971"/>
      <c r="K45" s="971"/>
      <c r="L45" s="971"/>
      <c r="M45" s="971"/>
    </row>
    <row r="46" spans="1:13" s="465" customFormat="1" ht="15" x14ac:dyDescent="0.25">
      <c r="B46" s="971" t="s">
        <v>1079</v>
      </c>
      <c r="C46" s="971"/>
      <c r="D46" s="971"/>
      <c r="E46" s="971"/>
      <c r="F46" s="971"/>
      <c r="G46" s="971"/>
      <c r="H46" s="971"/>
      <c r="I46" s="971"/>
      <c r="J46" s="971"/>
      <c r="K46" s="971"/>
      <c r="L46" s="971"/>
      <c r="M46" s="971"/>
    </row>
    <row r="47" spans="1:13" s="465" customFormat="1" ht="15" x14ac:dyDescent="0.25">
      <c r="B47" s="971" t="s">
        <v>1150</v>
      </c>
      <c r="C47" s="971"/>
      <c r="D47" s="971"/>
      <c r="E47" s="971"/>
      <c r="F47" s="971"/>
      <c r="G47" s="971"/>
      <c r="H47" s="971"/>
      <c r="I47" s="971"/>
      <c r="J47" s="971"/>
      <c r="K47" s="971"/>
      <c r="L47" s="971"/>
      <c r="M47" s="971"/>
    </row>
    <row r="48" spans="1:13" s="468" customFormat="1" ht="15" x14ac:dyDescent="0.25">
      <c r="B48" s="451"/>
      <c r="C48" s="451"/>
      <c r="D48" s="451"/>
      <c r="E48" s="451"/>
      <c r="F48" s="451"/>
      <c r="G48" s="451"/>
      <c r="H48" s="451"/>
      <c r="I48" s="451"/>
      <c r="J48" s="451"/>
      <c r="K48" s="451"/>
      <c r="L48" s="451"/>
    </row>
    <row r="50" spans="1:13" s="441" customFormat="1" x14ac:dyDescent="0.3">
      <c r="A50" s="440"/>
      <c r="B50" s="452"/>
      <c r="C50" s="452"/>
      <c r="D50" s="452"/>
      <c r="E50" s="452"/>
      <c r="F50" s="452"/>
      <c r="G50" s="452"/>
      <c r="H50" s="452"/>
      <c r="I50" s="452"/>
      <c r="J50" s="452"/>
      <c r="K50" s="452"/>
      <c r="L50" s="453"/>
    </row>
    <row r="52" spans="1:13" s="441" customFormat="1" x14ac:dyDescent="0.3">
      <c r="A52" s="440"/>
      <c r="B52" s="452"/>
      <c r="C52" s="452"/>
      <c r="D52" s="452"/>
      <c r="E52" s="452"/>
      <c r="F52" s="452"/>
      <c r="G52" s="452"/>
      <c r="H52" s="452"/>
      <c r="I52" s="452"/>
      <c r="J52" s="452"/>
      <c r="K52" s="452"/>
      <c r="L52" s="453"/>
    </row>
    <row r="53" spans="1:13" s="463" customFormat="1" ht="20.25" x14ac:dyDescent="0.3">
      <c r="A53" s="974"/>
      <c r="B53" s="974"/>
      <c r="C53" s="974"/>
      <c r="D53" s="974"/>
      <c r="E53" s="974"/>
      <c r="F53" s="974"/>
      <c r="G53" s="974"/>
      <c r="H53" s="974"/>
      <c r="I53" s="974"/>
      <c r="J53" s="974"/>
      <c r="K53" s="974"/>
      <c r="L53" s="974"/>
      <c r="M53" s="974"/>
    </row>
    <row r="54" spans="1:13" s="464" customFormat="1" ht="42.75" customHeight="1" x14ac:dyDescent="0.3">
      <c r="A54" s="973" t="s">
        <v>1148</v>
      </c>
      <c r="B54" s="973"/>
      <c r="C54" s="973"/>
      <c r="D54" s="973"/>
      <c r="E54" s="973"/>
      <c r="F54" s="973"/>
      <c r="G54" s="973"/>
      <c r="H54" s="973"/>
      <c r="I54" s="973"/>
      <c r="J54" s="973"/>
      <c r="K54" s="973"/>
      <c r="L54" s="973"/>
      <c r="M54" s="973"/>
    </row>
    <row r="55" spans="1:13" s="61" customFormat="1" x14ac:dyDescent="0.3">
      <c r="A55" s="974" t="s">
        <v>1149</v>
      </c>
      <c r="B55" s="974"/>
      <c r="C55" s="974"/>
      <c r="D55" s="974"/>
      <c r="E55" s="974"/>
      <c r="F55" s="974"/>
      <c r="G55" s="974"/>
      <c r="H55" s="974"/>
      <c r="I55" s="974"/>
      <c r="J55" s="974"/>
      <c r="K55" s="974"/>
      <c r="L55" s="974"/>
      <c r="M55" s="974"/>
    </row>
    <row r="56" spans="1:13" s="441" customFormat="1" ht="6" customHeight="1" x14ac:dyDescent="0.3">
      <c r="A56" s="466"/>
      <c r="B56" s="466"/>
      <c r="C56" s="466"/>
      <c r="D56" s="466"/>
      <c r="E56" s="466"/>
      <c r="F56" s="466"/>
      <c r="G56" s="466"/>
      <c r="H56" s="466"/>
      <c r="I56" s="466"/>
      <c r="J56" s="466"/>
      <c r="K56" s="466"/>
      <c r="L56" s="466"/>
      <c r="M56" s="466"/>
    </row>
    <row r="57" spans="1:13" s="441" customFormat="1" ht="11.25" customHeight="1" x14ac:dyDescent="0.3">
      <c r="A57" s="462"/>
      <c r="B57" s="462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</row>
    <row r="58" spans="1:13" s="61" customFormat="1" x14ac:dyDescent="0.3">
      <c r="A58" s="974" t="s">
        <v>1093</v>
      </c>
      <c r="B58" s="974"/>
      <c r="C58" s="974"/>
      <c r="D58" s="974"/>
      <c r="E58" s="974"/>
      <c r="F58" s="974"/>
      <c r="G58" s="974"/>
      <c r="H58" s="974"/>
      <c r="I58" s="974"/>
      <c r="J58" s="974"/>
      <c r="K58" s="974"/>
      <c r="L58" s="974"/>
      <c r="M58" s="974"/>
    </row>
    <row r="59" spans="1:13" s="441" customFormat="1" ht="20.25" x14ac:dyDescent="0.3">
      <c r="A59" s="976" t="s">
        <v>1080</v>
      </c>
      <c r="B59" s="976"/>
      <c r="C59" s="976"/>
      <c r="D59" s="976"/>
      <c r="E59" s="976"/>
      <c r="F59" s="976"/>
      <c r="G59" s="976"/>
      <c r="H59" s="976"/>
      <c r="I59" s="976"/>
      <c r="J59" s="976"/>
      <c r="K59" s="976"/>
      <c r="L59" s="976"/>
      <c r="M59" s="976"/>
    </row>
    <row r="60" spans="1:13" s="441" customFormat="1" x14ac:dyDescent="0.3">
      <c r="A60" s="974" t="s">
        <v>1522</v>
      </c>
      <c r="B60" s="974"/>
      <c r="C60" s="974"/>
      <c r="D60" s="974"/>
      <c r="E60" s="974"/>
      <c r="F60" s="974"/>
      <c r="G60" s="974"/>
      <c r="H60" s="974"/>
      <c r="I60" s="974"/>
      <c r="J60" s="974"/>
      <c r="K60" s="974"/>
      <c r="L60" s="974"/>
      <c r="M60" s="974"/>
    </row>
    <row r="61" spans="1:13" s="467" customFormat="1" ht="18" customHeight="1" x14ac:dyDescent="0.25">
      <c r="A61" s="977" t="s">
        <v>1091</v>
      </c>
      <c r="B61" s="977"/>
      <c r="C61" s="977"/>
      <c r="D61" s="977"/>
      <c r="E61" s="977"/>
      <c r="F61" s="977"/>
      <c r="G61" s="977"/>
      <c r="H61" s="977"/>
      <c r="I61" s="977"/>
      <c r="J61" s="977"/>
      <c r="K61" s="977"/>
      <c r="L61" s="977"/>
      <c r="M61" s="977"/>
    </row>
    <row r="62" spans="1:13" s="435" customFormat="1" ht="15.75" x14ac:dyDescent="0.25">
      <c r="A62" s="972" t="s">
        <v>1081</v>
      </c>
      <c r="B62" s="972"/>
      <c r="C62" s="972"/>
      <c r="D62" s="972"/>
      <c r="E62" s="972"/>
      <c r="F62" s="972"/>
      <c r="G62" s="972"/>
      <c r="H62" s="972"/>
      <c r="I62" s="972"/>
      <c r="J62" s="972"/>
      <c r="K62" s="972"/>
      <c r="L62" s="972"/>
      <c r="M62" s="972"/>
    </row>
    <row r="65" spans="1:13" s="61" customFormat="1" x14ac:dyDescent="0.3">
      <c r="A65" s="192" t="s">
        <v>1399</v>
      </c>
      <c r="B65" s="428"/>
      <c r="C65" s="428"/>
      <c r="D65" s="428"/>
      <c r="E65" s="428"/>
      <c r="F65" s="428"/>
      <c r="G65" s="428"/>
      <c r="H65" s="428"/>
      <c r="I65" s="428"/>
      <c r="J65" s="428"/>
      <c r="K65" s="428"/>
      <c r="L65" s="494"/>
    </row>
    <row r="66" spans="1:13" s="61" customFormat="1" x14ac:dyDescent="0.3">
      <c r="A66" s="192" t="s">
        <v>1400</v>
      </c>
      <c r="B66" s="428"/>
      <c r="C66" s="428"/>
      <c r="D66" s="428"/>
      <c r="E66" s="428"/>
      <c r="F66" s="428"/>
      <c r="G66" s="428"/>
      <c r="H66" s="428"/>
      <c r="I66" s="495"/>
      <c r="J66" s="495"/>
      <c r="K66" s="979" t="s">
        <v>1525</v>
      </c>
      <c r="L66" s="980"/>
      <c r="M66" s="980"/>
    </row>
    <row r="67" spans="1:13" s="61" customFormat="1" x14ac:dyDescent="0.3">
      <c r="A67" s="192" t="s">
        <v>1401</v>
      </c>
      <c r="B67" s="428"/>
      <c r="C67" s="428"/>
      <c r="D67" s="428"/>
      <c r="E67" s="428"/>
      <c r="F67" s="428"/>
      <c r="G67" s="428"/>
      <c r="H67" s="428"/>
      <c r="I67" s="428"/>
      <c r="J67" s="428"/>
      <c r="K67" s="428"/>
      <c r="L67" s="494"/>
    </row>
    <row r="68" spans="1:13" s="447" customFormat="1" ht="26.25" customHeight="1" x14ac:dyDescent="0.3">
      <c r="A68" s="446"/>
      <c r="B68" s="454"/>
      <c r="C68" s="454"/>
      <c r="D68" s="454"/>
      <c r="E68" s="454"/>
      <c r="F68" s="454"/>
      <c r="G68" s="454"/>
      <c r="H68" s="454"/>
      <c r="I68" s="454"/>
      <c r="J68" s="454"/>
      <c r="K68" s="454"/>
      <c r="L68" s="455"/>
    </row>
    <row r="69" spans="1:13" x14ac:dyDescent="0.3">
      <c r="A69" s="355" t="s">
        <v>1395</v>
      </c>
    </row>
    <row r="70" spans="1:13" x14ac:dyDescent="0.3">
      <c r="A70" s="355" t="s">
        <v>1396</v>
      </c>
    </row>
    <row r="71" spans="1:13" x14ac:dyDescent="0.3">
      <c r="A71" s="355" t="s">
        <v>1397</v>
      </c>
      <c r="K71" s="443" t="s">
        <v>1398</v>
      </c>
      <c r="L71" s="492"/>
      <c r="M71" s="493"/>
    </row>
    <row r="72" spans="1:13" ht="36.75" customHeight="1" x14ac:dyDescent="0.3"/>
    <row r="73" spans="1:13" x14ac:dyDescent="0.3">
      <c r="A73" s="355" t="s">
        <v>1082</v>
      </c>
      <c r="I73" s="433"/>
      <c r="J73" s="433"/>
      <c r="K73" s="433"/>
    </row>
    <row r="74" spans="1:13" x14ac:dyDescent="0.3">
      <c r="A74" s="355" t="s">
        <v>1085</v>
      </c>
      <c r="I74" s="443"/>
      <c r="J74" s="433"/>
      <c r="K74" s="443" t="s">
        <v>1083</v>
      </c>
      <c r="M74" s="433"/>
    </row>
    <row r="84" spans="1:13" ht="24.75" customHeight="1" x14ac:dyDescent="0.3"/>
    <row r="85" spans="1:13" s="435" customFormat="1" ht="15.75" x14ac:dyDescent="0.25">
      <c r="A85" s="978" t="s">
        <v>1092</v>
      </c>
      <c r="B85" s="978"/>
      <c r="C85" s="978"/>
      <c r="D85" s="978"/>
      <c r="E85" s="978"/>
      <c r="F85" s="978"/>
      <c r="G85" s="978"/>
      <c r="H85" s="978"/>
      <c r="I85" s="978"/>
      <c r="J85" s="978"/>
      <c r="K85" s="978"/>
      <c r="L85" s="978"/>
      <c r="M85" s="978"/>
    </row>
    <row r="86" spans="1:13" s="435" customFormat="1" ht="15.75" x14ac:dyDescent="0.25">
      <c r="A86" s="444"/>
      <c r="B86" s="438"/>
      <c r="C86" s="438"/>
      <c r="D86" s="438"/>
      <c r="E86" s="438"/>
      <c r="F86" s="438"/>
      <c r="G86" s="438"/>
      <c r="H86" s="438"/>
      <c r="I86" s="438"/>
      <c r="J86" s="438"/>
      <c r="K86" s="438"/>
      <c r="L86" s="438"/>
    </row>
    <row r="87" spans="1:13" x14ac:dyDescent="0.3">
      <c r="A87" s="975" t="s">
        <v>1084</v>
      </c>
      <c r="B87" s="975"/>
      <c r="C87" s="975"/>
      <c r="D87" s="975"/>
      <c r="E87" s="975"/>
      <c r="F87" s="975"/>
      <c r="G87" s="975"/>
      <c r="H87" s="975"/>
      <c r="I87" s="975"/>
      <c r="J87" s="975"/>
      <c r="K87" s="443"/>
    </row>
    <row r="89" spans="1:13" x14ac:dyDescent="0.3">
      <c r="A89" s="355" t="s">
        <v>1533</v>
      </c>
    </row>
    <row r="90" spans="1:13" x14ac:dyDescent="0.3">
      <c r="A90" s="355" t="s">
        <v>1085</v>
      </c>
      <c r="H90" s="445" t="s">
        <v>1086</v>
      </c>
      <c r="J90" s="445" t="s">
        <v>1087</v>
      </c>
    </row>
    <row r="92" spans="1:13" x14ac:dyDescent="0.3">
      <c r="A92" s="355" t="s">
        <v>1088</v>
      </c>
    </row>
    <row r="93" spans="1:13" s="441" customFormat="1" x14ac:dyDescent="0.3">
      <c r="A93" s="355" t="s">
        <v>1085</v>
      </c>
      <c r="B93" s="452"/>
      <c r="C93" s="452"/>
      <c r="D93" s="452"/>
      <c r="E93" s="452"/>
      <c r="F93" s="452"/>
      <c r="G93" s="452"/>
      <c r="H93" s="452" t="s">
        <v>1089</v>
      </c>
      <c r="I93" s="445"/>
      <c r="J93" s="445" t="s">
        <v>1094</v>
      </c>
      <c r="K93" s="445"/>
      <c r="L93" s="453"/>
    </row>
    <row r="94" spans="1:13" x14ac:dyDescent="0.3">
      <c r="A94" s="975"/>
      <c r="B94" s="975"/>
      <c r="C94" s="975"/>
      <c r="D94" s="975"/>
      <c r="E94" s="975"/>
      <c r="F94" s="975"/>
      <c r="G94" s="975"/>
      <c r="H94" s="975"/>
      <c r="I94" s="975"/>
      <c r="J94" s="975"/>
      <c r="K94" s="443"/>
    </row>
    <row r="98" spans="1:11" x14ac:dyDescent="0.3">
      <c r="A98" s="975"/>
      <c r="B98" s="975"/>
      <c r="C98" s="975"/>
      <c r="D98" s="975"/>
      <c r="E98" s="975"/>
      <c r="F98" s="975"/>
      <c r="G98" s="975"/>
      <c r="H98" s="975"/>
      <c r="I98" s="975"/>
      <c r="J98" s="975"/>
      <c r="K98" s="443"/>
    </row>
    <row r="101" spans="1:11" x14ac:dyDescent="0.3">
      <c r="A101" s="975"/>
      <c r="B101" s="975"/>
      <c r="C101" s="975"/>
      <c r="D101" s="975"/>
      <c r="E101" s="975"/>
      <c r="F101" s="975"/>
      <c r="G101" s="975"/>
      <c r="H101" s="975"/>
      <c r="I101" s="975"/>
      <c r="J101" s="975"/>
      <c r="K101" s="443"/>
    </row>
    <row r="105" spans="1:11" x14ac:dyDescent="0.3">
      <c r="A105" s="975"/>
      <c r="B105" s="975"/>
      <c r="C105" s="975"/>
      <c r="D105" s="975"/>
      <c r="E105" s="975"/>
      <c r="F105" s="975"/>
      <c r="G105" s="975"/>
      <c r="H105" s="975"/>
      <c r="I105" s="975"/>
      <c r="J105" s="975"/>
      <c r="K105" s="443"/>
    </row>
    <row r="107" spans="1:11" x14ac:dyDescent="0.3">
      <c r="A107" s="975"/>
      <c r="B107" s="975"/>
      <c r="C107" s="975"/>
      <c r="D107" s="975"/>
      <c r="E107" s="975"/>
      <c r="F107" s="975"/>
      <c r="G107" s="975"/>
      <c r="H107" s="975"/>
      <c r="I107" s="975"/>
      <c r="J107" s="975"/>
      <c r="K107" s="443"/>
    </row>
    <row r="111" spans="1:11" x14ac:dyDescent="0.3">
      <c r="A111" s="975"/>
      <c r="B111" s="975"/>
      <c r="C111" s="975"/>
      <c r="D111" s="975"/>
      <c r="E111" s="975"/>
      <c r="F111" s="975"/>
      <c r="G111" s="975"/>
      <c r="H111" s="975"/>
      <c r="I111" s="975"/>
      <c r="J111" s="975"/>
      <c r="K111" s="443"/>
    </row>
    <row r="118" spans="1:11" x14ac:dyDescent="0.3">
      <c r="A118" s="975"/>
      <c r="B118" s="975"/>
      <c r="C118" s="975"/>
      <c r="D118" s="975"/>
      <c r="E118" s="975"/>
      <c r="F118" s="975"/>
      <c r="G118" s="975"/>
      <c r="H118" s="975"/>
      <c r="I118" s="975"/>
      <c r="J118" s="975"/>
      <c r="K118" s="443"/>
    </row>
    <row r="123" spans="1:11" x14ac:dyDescent="0.3">
      <c r="A123" s="975"/>
      <c r="B123" s="975"/>
      <c r="C123" s="975"/>
      <c r="D123" s="975"/>
      <c r="E123" s="975"/>
      <c r="F123" s="975"/>
      <c r="G123" s="975"/>
      <c r="H123" s="975"/>
      <c r="I123" s="975"/>
      <c r="J123" s="975"/>
      <c r="K123" s="443"/>
    </row>
    <row r="124" spans="1:11" x14ac:dyDescent="0.3">
      <c r="A124" s="442"/>
      <c r="B124" s="443"/>
      <c r="C124" s="443"/>
      <c r="D124" s="443"/>
      <c r="E124" s="443"/>
      <c r="F124" s="443"/>
      <c r="G124" s="443"/>
      <c r="H124" s="443"/>
      <c r="I124" s="443"/>
      <c r="J124" s="443"/>
      <c r="K124" s="443"/>
    </row>
    <row r="125" spans="1:11" x14ac:dyDescent="0.3">
      <c r="A125" s="442"/>
      <c r="B125" s="443"/>
      <c r="C125" s="443"/>
      <c r="D125" s="443"/>
      <c r="E125" s="443"/>
      <c r="F125" s="443"/>
      <c r="G125" s="443"/>
      <c r="H125" s="443"/>
      <c r="I125" s="443"/>
      <c r="J125" s="443"/>
      <c r="K125" s="443"/>
    </row>
    <row r="142" spans="1:11" x14ac:dyDescent="0.3">
      <c r="A142" s="442"/>
      <c r="B142" s="443"/>
      <c r="C142" s="443"/>
      <c r="D142" s="443"/>
      <c r="E142" s="443"/>
      <c r="F142" s="443"/>
      <c r="G142" s="443"/>
      <c r="H142" s="443"/>
      <c r="I142" s="443"/>
      <c r="J142" s="443"/>
      <c r="K142" s="433"/>
    </row>
    <row r="143" spans="1:11" x14ac:dyDescent="0.3">
      <c r="K143" s="433"/>
    </row>
    <row r="145" spans="11:11" x14ac:dyDescent="0.3">
      <c r="K145" s="433"/>
    </row>
    <row r="147" spans="11:11" x14ac:dyDescent="0.3">
      <c r="K147" s="433"/>
    </row>
    <row r="149" spans="11:11" x14ac:dyDescent="0.3">
      <c r="K149" s="433"/>
    </row>
    <row r="151" spans="11:11" x14ac:dyDescent="0.3">
      <c r="K151" s="433"/>
    </row>
  </sheetData>
  <mergeCells count="39">
    <mergeCell ref="A43:M43"/>
    <mergeCell ref="B12:L12"/>
    <mergeCell ref="B5:L5"/>
    <mergeCell ref="A25:M25"/>
    <mergeCell ref="A26:M26"/>
    <mergeCell ref="B16:L16"/>
    <mergeCell ref="B20:L20"/>
    <mergeCell ref="A14:M14"/>
    <mergeCell ref="A18:M18"/>
    <mergeCell ref="A22:M22"/>
    <mergeCell ref="A24:M24"/>
    <mergeCell ref="B1:M1"/>
    <mergeCell ref="B2:M2"/>
    <mergeCell ref="B3:M3"/>
    <mergeCell ref="B4:M4"/>
    <mergeCell ref="A13:M13"/>
    <mergeCell ref="A123:J123"/>
    <mergeCell ref="A98:J98"/>
    <mergeCell ref="A101:J101"/>
    <mergeCell ref="A105:J105"/>
    <mergeCell ref="A107:J107"/>
    <mergeCell ref="A111:J111"/>
    <mergeCell ref="A118:J118"/>
    <mergeCell ref="A87:J87"/>
    <mergeCell ref="A94:J94"/>
    <mergeCell ref="A59:M59"/>
    <mergeCell ref="A60:M60"/>
    <mergeCell ref="A61:M61"/>
    <mergeCell ref="A85:M85"/>
    <mergeCell ref="K66:M66"/>
    <mergeCell ref="B44:M44"/>
    <mergeCell ref="B45:M45"/>
    <mergeCell ref="B46:M46"/>
    <mergeCell ref="B47:M47"/>
    <mergeCell ref="A62:M62"/>
    <mergeCell ref="A54:M54"/>
    <mergeCell ref="A53:M53"/>
    <mergeCell ref="A55:M55"/>
    <mergeCell ref="A58:M58"/>
  </mergeCells>
  <pageMargins left="0.78740157480314965" right="0.59055118110236227" top="0.39370078740157483" bottom="0.3937007874015748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2" shapeId="27650" r:id="rId4">
          <objectPr defaultSize="0" autoPict="0" r:id="rId5">
            <anchor moveWithCells="1" sizeWithCells="1">
              <from>
                <xdr:col>0</xdr:col>
                <xdr:colOff>19050</xdr:colOff>
                <xdr:row>42</xdr:row>
                <xdr:rowOff>200025</xdr:rowOff>
              </from>
              <to>
                <xdr:col>2</xdr:col>
                <xdr:colOff>95250</xdr:colOff>
                <xdr:row>47</xdr:row>
                <xdr:rowOff>76200</xdr:rowOff>
              </to>
            </anchor>
          </objectPr>
        </oleObject>
      </mc:Choice>
      <mc:Fallback>
        <oleObject progId="CorelDraw.Graphic.12" shapeId="27650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50"/>
  <sheetViews>
    <sheetView view="pageBreakPreview" topLeftCell="A21" zoomScale="115" zoomScaleNormal="100" zoomScaleSheetLayoutView="115" workbookViewId="0">
      <selection activeCell="E47" sqref="E47:E48"/>
    </sheetView>
  </sheetViews>
  <sheetFormatPr defaultRowHeight="15" x14ac:dyDescent="0.25"/>
  <cols>
    <col min="1" max="1" width="9.5703125" customWidth="1"/>
    <col min="2" max="2" width="26.42578125" customWidth="1"/>
    <col min="3" max="3" width="15.140625" customWidth="1"/>
    <col min="4" max="4" width="5.7109375" customWidth="1"/>
    <col min="5" max="5" width="6.85546875" customWidth="1"/>
    <col min="7" max="7" width="27.140625" customWidth="1"/>
    <col min="9" max="12" width="10.140625" customWidth="1"/>
  </cols>
  <sheetData>
    <row r="1" spans="1:24" s="195" customFormat="1" ht="18.75" customHeight="1" x14ac:dyDescent="0.3">
      <c r="A1" s="973" t="s">
        <v>901</v>
      </c>
      <c r="B1" s="973"/>
      <c r="C1" s="973"/>
      <c r="D1" s="973"/>
      <c r="E1" s="973"/>
      <c r="F1" s="973"/>
      <c r="G1" s="973"/>
      <c r="H1" s="973"/>
      <c r="I1" s="973"/>
      <c r="J1" s="973"/>
      <c r="K1" s="205"/>
      <c r="L1" s="205"/>
    </row>
    <row r="2" spans="1:24" s="193" customFormat="1" ht="9" customHeight="1" x14ac:dyDescent="0.25"/>
    <row r="3" spans="1:24" s="198" customFormat="1" ht="14.25" customHeight="1" x14ac:dyDescent="0.25">
      <c r="A3" s="1065" t="s">
        <v>796</v>
      </c>
      <c r="B3" s="1065"/>
      <c r="C3" s="1065"/>
      <c r="D3" s="1065"/>
      <c r="E3" s="1065"/>
      <c r="F3" s="1065"/>
      <c r="G3" s="1065"/>
      <c r="H3" s="1065"/>
      <c r="I3" s="1065"/>
      <c r="J3" s="1065"/>
      <c r="K3" s="1065"/>
      <c r="L3" s="1065"/>
      <c r="M3" s="1065"/>
      <c r="N3" s="1065"/>
      <c r="O3" s="1065"/>
      <c r="P3" s="1065"/>
      <c r="Q3" s="186"/>
    </row>
    <row r="4" spans="1:24" s="198" customFormat="1" ht="17.25" customHeight="1" x14ac:dyDescent="0.25">
      <c r="A4" s="1066" t="s">
        <v>892</v>
      </c>
      <c r="B4" s="1066"/>
      <c r="C4" s="1066"/>
      <c r="D4" s="1066"/>
      <c r="E4" s="1066"/>
      <c r="F4" s="1066"/>
      <c r="G4" s="1066"/>
      <c r="H4" s="1066"/>
      <c r="I4" s="1066"/>
      <c r="J4" s="1066"/>
      <c r="K4" s="203"/>
      <c r="L4" s="203"/>
      <c r="M4" s="186"/>
      <c r="N4" s="186"/>
      <c r="O4" s="186"/>
      <c r="P4" s="186"/>
      <c r="Q4" s="186"/>
      <c r="R4" s="186"/>
      <c r="S4" s="186"/>
      <c r="T4" s="186"/>
      <c r="U4" s="186"/>
    </row>
    <row r="5" spans="1:24" s="269" customFormat="1" ht="21.75" customHeight="1" x14ac:dyDescent="0.3">
      <c r="A5" s="183"/>
      <c r="B5" s="183"/>
      <c r="C5" s="183"/>
      <c r="D5" s="183"/>
      <c r="E5" s="183"/>
      <c r="F5" s="183"/>
      <c r="G5" s="266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</row>
    <row r="6" spans="1:24" s="269" customFormat="1" ht="35.25" customHeight="1" x14ac:dyDescent="0.3">
      <c r="A6" s="1043" t="s">
        <v>893</v>
      </c>
      <c r="B6" s="1043"/>
      <c r="C6" s="1043"/>
      <c r="D6" s="1043"/>
      <c r="E6" s="1043"/>
      <c r="F6" s="1043"/>
      <c r="G6" s="1043"/>
      <c r="H6" s="1043"/>
      <c r="I6" s="1043"/>
      <c r="J6" s="1043"/>
      <c r="K6" s="183"/>
      <c r="L6" s="183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</row>
    <row r="7" spans="1:24" s="269" customFormat="1" ht="24" customHeight="1" x14ac:dyDescent="0.3">
      <c r="A7" s="1043" t="s">
        <v>894</v>
      </c>
      <c r="B7" s="1043"/>
      <c r="C7" s="1043"/>
      <c r="D7" s="1043"/>
      <c r="E7" s="1043"/>
      <c r="F7" s="1043"/>
      <c r="G7" s="1043"/>
      <c r="H7" s="1043"/>
      <c r="I7" s="1043"/>
      <c r="J7" s="1043"/>
      <c r="K7" s="183"/>
      <c r="L7" s="183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</row>
    <row r="8" spans="1:24" s="201" customFormat="1" ht="23.25" customHeight="1" x14ac:dyDescent="0.25">
      <c r="A8" s="1042" t="s">
        <v>895</v>
      </c>
      <c r="B8" s="1042"/>
      <c r="C8" s="1042"/>
      <c r="D8" s="1042"/>
      <c r="E8" s="1042"/>
      <c r="F8" s="1042"/>
      <c r="G8" s="1042"/>
      <c r="H8" s="1042"/>
      <c r="I8" s="1042"/>
      <c r="J8" s="1042"/>
      <c r="K8" s="267"/>
      <c r="L8" s="267"/>
      <c r="M8" s="267"/>
      <c r="N8" s="267"/>
      <c r="O8" s="267"/>
      <c r="P8" s="267"/>
      <c r="Q8" s="267"/>
      <c r="R8" s="267"/>
      <c r="S8" s="267"/>
      <c r="T8" s="267"/>
      <c r="U8" s="267"/>
    </row>
    <row r="9" spans="1:24" s="201" customFormat="1" ht="9" customHeight="1" x14ac:dyDescent="0.25">
      <c r="A9" s="181"/>
      <c r="B9" s="181"/>
      <c r="C9" s="181"/>
      <c r="D9" s="181"/>
      <c r="E9" s="181"/>
      <c r="F9" s="181"/>
      <c r="G9" s="267"/>
      <c r="H9" s="181"/>
      <c r="I9" s="181"/>
      <c r="J9" s="181"/>
      <c r="K9" s="181"/>
      <c r="L9" s="181"/>
      <c r="M9" s="181"/>
      <c r="N9" s="181"/>
      <c r="O9" s="267"/>
      <c r="P9" s="267"/>
      <c r="Q9" s="267"/>
      <c r="R9" s="267"/>
      <c r="S9" s="267"/>
      <c r="T9" s="267"/>
      <c r="U9" s="267"/>
    </row>
    <row r="10" spans="1:24" s="201" customFormat="1" ht="23.25" customHeight="1" x14ac:dyDescent="0.25">
      <c r="A10" s="1042" t="s">
        <v>896</v>
      </c>
      <c r="B10" s="1042"/>
      <c r="C10" s="1042"/>
      <c r="D10" s="1042"/>
      <c r="E10" s="1042"/>
      <c r="F10" s="1042"/>
      <c r="G10" s="1042"/>
      <c r="H10" s="1042"/>
      <c r="I10" s="1042"/>
      <c r="J10" s="1042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</row>
    <row r="11" spans="1:24" s="191" customFormat="1" ht="15.75" x14ac:dyDescent="0.25">
      <c r="A11" s="188" t="s">
        <v>833</v>
      </c>
      <c r="G11" s="268"/>
      <c r="M11" s="188"/>
    </row>
    <row r="12" spans="1:24" s="191" customFormat="1" ht="18" customHeight="1" x14ac:dyDescent="0.25">
      <c r="A12" s="1038" t="s">
        <v>897</v>
      </c>
      <c r="B12" s="1038"/>
      <c r="C12" s="1038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8"/>
      <c r="O12" s="268"/>
      <c r="P12" s="268"/>
      <c r="Q12" s="268"/>
      <c r="R12" s="268"/>
      <c r="S12" s="268"/>
      <c r="T12" s="268"/>
      <c r="U12" s="268"/>
    </row>
    <row r="13" spans="1:24" s="191" customFormat="1" ht="15.75" customHeight="1" x14ac:dyDescent="0.25">
      <c r="A13" s="1038" t="s">
        <v>899</v>
      </c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</row>
    <row r="14" spans="1:24" s="191" customFormat="1" ht="15.75" customHeight="1" x14ac:dyDescent="0.25">
      <c r="A14" s="1038" t="s">
        <v>898</v>
      </c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</row>
    <row r="15" spans="1:24" s="190" customFormat="1" ht="9.75" customHeight="1" x14ac:dyDescent="0.25">
      <c r="A15" s="1038"/>
      <c r="B15" s="1038"/>
      <c r="C15" s="1038"/>
      <c r="D15" s="1038"/>
      <c r="E15" s="1038"/>
      <c r="F15" s="1038"/>
      <c r="G15" s="1038"/>
      <c r="H15" s="1038"/>
      <c r="I15" s="1038"/>
      <c r="J15" s="1038"/>
      <c r="K15" s="1038"/>
      <c r="L15" s="1038"/>
      <c r="M15" s="1038"/>
      <c r="N15" s="1038"/>
      <c r="O15" s="1038"/>
      <c r="P15" s="1038"/>
      <c r="Q15" s="1038"/>
      <c r="R15" s="1038"/>
      <c r="S15" s="1038"/>
      <c r="T15" s="1038"/>
      <c r="U15" s="1038"/>
      <c r="V15" s="1038"/>
      <c r="W15" s="1038"/>
      <c r="X15" s="1038"/>
    </row>
    <row r="16" spans="1:24" s="197" customFormat="1" ht="27" customHeight="1" x14ac:dyDescent="0.25">
      <c r="A16" s="1043" t="s">
        <v>1494</v>
      </c>
      <c r="B16" s="1043"/>
      <c r="C16" s="1043"/>
      <c r="D16" s="1043"/>
      <c r="E16" s="1043"/>
      <c r="F16" s="1043"/>
      <c r="G16" s="1043"/>
      <c r="H16" s="1043"/>
      <c r="I16" s="1043"/>
      <c r="J16" s="1043"/>
      <c r="K16" s="1043"/>
      <c r="L16" s="1043"/>
      <c r="M16" s="1043"/>
      <c r="N16" s="1043"/>
      <c r="O16" s="1043"/>
      <c r="P16" s="1043"/>
      <c r="Q16" s="1043"/>
      <c r="R16" s="1043"/>
      <c r="S16" s="266"/>
      <c r="T16" s="266"/>
      <c r="U16" s="266"/>
    </row>
    <row r="17" spans="1:21" s="197" customFormat="1" ht="9.75" customHeight="1" x14ac:dyDescent="0.25">
      <c r="A17" s="183"/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266"/>
      <c r="T17" s="266"/>
      <c r="U17" s="266"/>
    </row>
    <row r="18" spans="1:21" s="253" customFormat="1" ht="18.75" x14ac:dyDescent="0.3">
      <c r="A18" s="265" t="s">
        <v>900</v>
      </c>
      <c r="B18" s="265"/>
      <c r="C18" s="265"/>
      <c r="D18" s="265"/>
      <c r="E18" s="265"/>
      <c r="F18" s="265"/>
      <c r="G18" s="316"/>
      <c r="H18" s="265"/>
      <c r="I18" s="265"/>
      <c r="J18" s="265"/>
      <c r="K18" s="276"/>
      <c r="L18" s="276"/>
    </row>
    <row r="19" spans="1:21" x14ac:dyDescent="0.25">
      <c r="A19" s="1204" t="s">
        <v>181</v>
      </c>
      <c r="B19" s="1204" t="s">
        <v>239</v>
      </c>
      <c r="C19" s="1204" t="s">
        <v>171</v>
      </c>
      <c r="D19" s="1197" t="s">
        <v>172</v>
      </c>
      <c r="E19" s="1206" t="s">
        <v>173</v>
      </c>
      <c r="F19" s="1206" t="s">
        <v>238</v>
      </c>
      <c r="G19" s="1193" t="s">
        <v>20</v>
      </c>
      <c r="H19" s="1195" t="s">
        <v>91</v>
      </c>
      <c r="I19" s="1197" t="s">
        <v>93</v>
      </c>
      <c r="J19" s="1199" t="s">
        <v>94</v>
      </c>
      <c r="K19" s="312"/>
      <c r="L19" s="312"/>
    </row>
    <row r="20" spans="1:21" x14ac:dyDescent="0.25">
      <c r="A20" s="1205"/>
      <c r="B20" s="1205"/>
      <c r="C20" s="1205"/>
      <c r="D20" s="1198"/>
      <c r="E20" s="1207"/>
      <c r="F20" s="1207"/>
      <c r="G20" s="1194"/>
      <c r="H20" s="1196"/>
      <c r="I20" s="1198"/>
      <c r="J20" s="1200"/>
      <c r="K20" s="312"/>
      <c r="L20" s="312"/>
    </row>
    <row r="21" spans="1:21" s="297" customFormat="1" ht="11.25" customHeight="1" x14ac:dyDescent="0.25">
      <c r="A21" s="54" t="s">
        <v>95</v>
      </c>
      <c r="B21" s="54" t="s">
        <v>96</v>
      </c>
      <c r="C21" s="54" t="s">
        <v>24</v>
      </c>
      <c r="D21" s="55">
        <v>4</v>
      </c>
      <c r="E21" s="54" t="s">
        <v>26</v>
      </c>
      <c r="F21" s="55">
        <v>6</v>
      </c>
      <c r="G21" s="54" t="s">
        <v>28</v>
      </c>
      <c r="H21" s="54" t="s">
        <v>29</v>
      </c>
      <c r="I21" s="55">
        <v>9</v>
      </c>
      <c r="J21" s="54" t="s">
        <v>31</v>
      </c>
      <c r="K21" s="313"/>
      <c r="L21" s="313"/>
    </row>
    <row r="22" spans="1:21" x14ac:dyDescent="0.25">
      <c r="A22" s="1201" t="s">
        <v>148</v>
      </c>
      <c r="B22" s="1202"/>
      <c r="C22" s="1202"/>
      <c r="D22" s="1202"/>
      <c r="E22" s="1202"/>
      <c r="F22" s="1202"/>
      <c r="G22" s="1202"/>
      <c r="H22" s="1202"/>
      <c r="I22" s="1202"/>
      <c r="J22" s="1203"/>
      <c r="K22" s="314"/>
      <c r="L22" s="314"/>
    </row>
    <row r="23" spans="1:21" ht="12.75" customHeight="1" x14ac:dyDescent="0.25">
      <c r="A23" s="1190" t="s">
        <v>252</v>
      </c>
      <c r="B23" s="1191"/>
      <c r="C23" s="1191"/>
      <c r="D23" s="1191"/>
      <c r="E23" s="1191"/>
      <c r="F23" s="1191"/>
      <c r="G23" s="1191"/>
      <c r="H23" s="1191"/>
      <c r="I23" s="1191"/>
      <c r="J23" s="1192"/>
      <c r="K23" s="315"/>
      <c r="L23" s="315"/>
    </row>
    <row r="24" spans="1:21" ht="25.5" x14ac:dyDescent="0.25">
      <c r="A24" s="56" t="s">
        <v>179</v>
      </c>
      <c r="B24" s="57" t="s">
        <v>180</v>
      </c>
      <c r="C24" s="57" t="s">
        <v>174</v>
      </c>
      <c r="D24" s="58">
        <v>1.5</v>
      </c>
      <c r="E24" s="58">
        <v>280</v>
      </c>
      <c r="F24" s="58">
        <v>1.6000000000000001E-3</v>
      </c>
      <c r="G24" s="317" t="s">
        <v>175</v>
      </c>
      <c r="H24" s="56" t="s">
        <v>176</v>
      </c>
      <c r="I24" s="58">
        <f>ROUND((D24*F24*0.3),5)</f>
        <v>7.2000000000000005E-4</v>
      </c>
      <c r="J24" s="58">
        <f>ROUND((D24*F24*E24*0.3*3600/1000000),5)</f>
        <v>7.2999999999999996E-4</v>
      </c>
      <c r="K24" s="517">
        <f>I24</f>
        <v>7.2000000000000005E-4</v>
      </c>
      <c r="L24" s="517">
        <f>J24</f>
        <v>7.2999999999999996E-4</v>
      </c>
      <c r="M24" s="88"/>
    </row>
    <row r="25" spans="1:21" x14ac:dyDescent="0.25">
      <c r="A25" s="1185" t="s">
        <v>254</v>
      </c>
      <c r="B25" s="1186"/>
      <c r="C25" s="1186"/>
      <c r="D25" s="1186"/>
      <c r="E25" s="1186"/>
      <c r="F25" s="1186"/>
      <c r="G25" s="1186"/>
      <c r="H25" s="1186"/>
      <c r="I25" s="1186"/>
      <c r="J25" s="1187"/>
      <c r="K25" s="315"/>
      <c r="L25" s="315"/>
    </row>
    <row r="26" spans="1:21" ht="25.5" x14ac:dyDescent="0.25">
      <c r="A26" s="56" t="s">
        <v>219</v>
      </c>
      <c r="B26" s="57" t="s">
        <v>180</v>
      </c>
      <c r="C26" s="57" t="s">
        <v>174</v>
      </c>
      <c r="D26" s="58">
        <v>1.5</v>
      </c>
      <c r="E26" s="58">
        <v>280</v>
      </c>
      <c r="F26" s="58">
        <v>1.6000000000000001E-3</v>
      </c>
      <c r="G26" s="317" t="s">
        <v>175</v>
      </c>
      <c r="H26" s="56" t="s">
        <v>176</v>
      </c>
      <c r="I26" s="58">
        <f>ROUND((D26*F26*0.7),5)</f>
        <v>1.6800000000000001E-3</v>
      </c>
      <c r="J26" s="58">
        <f>ROUND((D26*F26*E26*0.7*3600/1000000),5)</f>
        <v>1.6900000000000001E-3</v>
      </c>
      <c r="K26" s="517">
        <f>I26</f>
        <v>1.6800000000000001E-3</v>
      </c>
      <c r="L26" s="517">
        <f>J26</f>
        <v>1.6900000000000001E-3</v>
      </c>
      <c r="M26" s="88"/>
    </row>
    <row r="27" spans="1:21" ht="15" customHeight="1" x14ac:dyDescent="0.25">
      <c r="A27" s="1190" t="s">
        <v>253</v>
      </c>
      <c r="B27" s="1191"/>
      <c r="C27" s="1191"/>
      <c r="D27" s="1191"/>
      <c r="E27" s="1191"/>
      <c r="F27" s="1191"/>
      <c r="G27" s="1191"/>
      <c r="H27" s="1191"/>
      <c r="I27" s="1191"/>
      <c r="J27" s="1192"/>
      <c r="K27" s="315"/>
      <c r="L27" s="315"/>
    </row>
    <row r="28" spans="1:21" ht="25.5" x14ac:dyDescent="0.25">
      <c r="A28" s="1188" t="s">
        <v>275</v>
      </c>
      <c r="B28" s="85" t="s">
        <v>903</v>
      </c>
      <c r="C28" s="85" t="s">
        <v>174</v>
      </c>
      <c r="D28" s="86">
        <v>0.6</v>
      </c>
      <c r="E28" s="86">
        <v>593</v>
      </c>
      <c r="F28" s="86">
        <v>1.6000000000000001E-3</v>
      </c>
      <c r="G28" s="318" t="s">
        <v>175</v>
      </c>
      <c r="H28" s="84" t="s">
        <v>176</v>
      </c>
      <c r="I28" s="86">
        <f>ROUND((D28*F28*0.3),5)</f>
        <v>2.9E-4</v>
      </c>
      <c r="J28" s="86">
        <f>ROUND((D28*F28*E28*0.3*3600/1000000),5)</f>
        <v>6.0999999999999997E-4</v>
      </c>
      <c r="K28" s="517"/>
      <c r="L28" s="517"/>
      <c r="M28" s="88"/>
    </row>
    <row r="29" spans="1:21" ht="38.25" x14ac:dyDescent="0.25">
      <c r="A29" s="1208"/>
      <c r="B29" s="85" t="s">
        <v>240</v>
      </c>
      <c r="C29" s="85" t="s">
        <v>241</v>
      </c>
      <c r="D29" s="86">
        <v>3.5000000000000003E-2</v>
      </c>
      <c r="E29" s="86">
        <v>1316</v>
      </c>
      <c r="F29" s="86">
        <v>3.168E-2</v>
      </c>
      <c r="G29" s="318" t="s">
        <v>242</v>
      </c>
      <c r="H29" s="84" t="s">
        <v>243</v>
      </c>
      <c r="I29" s="86">
        <f>ROUND((D29*F29),5)</f>
        <v>1.1100000000000001E-3</v>
      </c>
      <c r="J29" s="86">
        <f>ROUND((D29*F29*E29*3600/1000000),5)</f>
        <v>5.2500000000000003E-3</v>
      </c>
      <c r="K29" s="517"/>
      <c r="L29" s="517"/>
    </row>
    <row r="30" spans="1:21" ht="24.75" customHeight="1" x14ac:dyDescent="0.25">
      <c r="A30" s="1209"/>
      <c r="B30" s="85" t="s">
        <v>248</v>
      </c>
      <c r="C30" s="85" t="s">
        <v>249</v>
      </c>
      <c r="D30" s="86">
        <v>0.6</v>
      </c>
      <c r="E30" s="86">
        <v>593</v>
      </c>
      <c r="F30" s="86">
        <v>5.5E-2</v>
      </c>
      <c r="G30" s="318" t="s">
        <v>250</v>
      </c>
      <c r="H30" s="84" t="s">
        <v>251</v>
      </c>
      <c r="I30" s="86">
        <f>ROUND((D30*F30*0.3),5)</f>
        <v>9.9000000000000008E-3</v>
      </c>
      <c r="J30" s="86">
        <f>ROUND((D30*F30*E30*0.3*3600/1000000),5)</f>
        <v>2.1129999999999999E-2</v>
      </c>
      <c r="K30" s="517"/>
      <c r="L30" s="517"/>
      <c r="M30" s="88"/>
    </row>
    <row r="31" spans="1:21" ht="25.5" x14ac:dyDescent="0.25">
      <c r="A31" s="1210" t="s">
        <v>447</v>
      </c>
      <c r="B31" s="1211"/>
      <c r="C31" s="1211"/>
      <c r="D31" s="1211"/>
      <c r="E31" s="1211"/>
      <c r="F31" s="1212"/>
      <c r="G31" s="319" t="s">
        <v>175</v>
      </c>
      <c r="H31" s="156" t="s">
        <v>176</v>
      </c>
      <c r="I31" s="157">
        <f t="shared" ref="I31:J33" si="0">I28</f>
        <v>2.9E-4</v>
      </c>
      <c r="J31" s="157">
        <f t="shared" si="0"/>
        <v>6.0999999999999997E-4</v>
      </c>
      <c r="K31" s="905"/>
      <c r="L31" s="905"/>
      <c r="M31" s="88"/>
    </row>
    <row r="32" spans="1:21" x14ac:dyDescent="0.25">
      <c r="A32" s="1213"/>
      <c r="B32" s="1214"/>
      <c r="C32" s="1214"/>
      <c r="D32" s="1214"/>
      <c r="E32" s="1214"/>
      <c r="F32" s="1215"/>
      <c r="G32" s="319" t="s">
        <v>242</v>
      </c>
      <c r="H32" s="156" t="s">
        <v>243</v>
      </c>
      <c r="I32" s="157">
        <f t="shared" si="0"/>
        <v>1.1100000000000001E-3</v>
      </c>
      <c r="J32" s="157">
        <f t="shared" si="0"/>
        <v>5.2500000000000003E-3</v>
      </c>
      <c r="K32" s="905"/>
      <c r="L32" s="905"/>
      <c r="M32" s="88"/>
    </row>
    <row r="33" spans="1:13" x14ac:dyDescent="0.25">
      <c r="A33" s="1216"/>
      <c r="B33" s="1217"/>
      <c r="C33" s="1217"/>
      <c r="D33" s="1217"/>
      <c r="E33" s="1217"/>
      <c r="F33" s="1218"/>
      <c r="G33" s="319" t="s">
        <v>250</v>
      </c>
      <c r="H33" s="156" t="s">
        <v>251</v>
      </c>
      <c r="I33" s="157">
        <f t="shared" si="0"/>
        <v>9.9000000000000008E-3</v>
      </c>
      <c r="J33" s="157">
        <f t="shared" si="0"/>
        <v>2.1129999999999999E-2</v>
      </c>
      <c r="K33" s="517">
        <f>SUM(I31:I33)</f>
        <v>1.1300000000000001E-2</v>
      </c>
      <c r="L33" s="517">
        <f>SUM(J31:J33)</f>
        <v>2.699E-2</v>
      </c>
      <c r="M33" s="88"/>
    </row>
    <row r="34" spans="1:13" x14ac:dyDescent="0.25">
      <c r="A34" s="1185" t="s">
        <v>255</v>
      </c>
      <c r="B34" s="1186"/>
      <c r="C34" s="1186"/>
      <c r="D34" s="1186"/>
      <c r="E34" s="1186"/>
      <c r="F34" s="1186"/>
      <c r="G34" s="1186"/>
      <c r="H34" s="1186"/>
      <c r="I34" s="1186"/>
      <c r="J34" s="1187"/>
      <c r="K34" s="315"/>
      <c r="L34" s="315"/>
    </row>
    <row r="35" spans="1:13" ht="24" customHeight="1" x14ac:dyDescent="0.25">
      <c r="A35" s="56" t="s">
        <v>281</v>
      </c>
      <c r="B35" s="85" t="s">
        <v>248</v>
      </c>
      <c r="C35" s="85" t="s">
        <v>249</v>
      </c>
      <c r="D35" s="86">
        <v>0.6</v>
      </c>
      <c r="E35" s="86">
        <v>593</v>
      </c>
      <c r="F35" s="86">
        <v>5.5E-2</v>
      </c>
      <c r="G35" s="318" t="s">
        <v>250</v>
      </c>
      <c r="H35" s="84" t="s">
        <v>251</v>
      </c>
      <c r="I35" s="86">
        <f>ROUND((D35*F35*0.7),5)</f>
        <v>2.3099999999999999E-2</v>
      </c>
      <c r="J35" s="86">
        <f>ROUND((D35*F35*E35*0.7*3600/1000000),5)</f>
        <v>4.931E-2</v>
      </c>
      <c r="K35" s="517">
        <f>I35</f>
        <v>2.3099999999999999E-2</v>
      </c>
      <c r="L35" s="517">
        <f>J35</f>
        <v>4.931E-2</v>
      </c>
      <c r="M35" s="88"/>
    </row>
    <row r="36" spans="1:13" x14ac:dyDescent="0.25">
      <c r="A36" s="1185" t="s">
        <v>256</v>
      </c>
      <c r="B36" s="1186"/>
      <c r="C36" s="1186"/>
      <c r="D36" s="1186"/>
      <c r="E36" s="1186"/>
      <c r="F36" s="1186"/>
      <c r="G36" s="1186"/>
      <c r="H36" s="1186"/>
      <c r="I36" s="1186"/>
      <c r="J36" s="1187"/>
      <c r="K36" s="315"/>
      <c r="L36" s="315"/>
    </row>
    <row r="37" spans="1:13" ht="25.5" x14ac:dyDescent="0.25">
      <c r="A37" s="56" t="s">
        <v>285</v>
      </c>
      <c r="B37" s="85" t="s">
        <v>902</v>
      </c>
      <c r="C37" s="85" t="s">
        <v>174</v>
      </c>
      <c r="D37" s="86">
        <v>0.6</v>
      </c>
      <c r="E37" s="86">
        <v>593</v>
      </c>
      <c r="F37" s="86">
        <v>1.6000000000000001E-3</v>
      </c>
      <c r="G37" s="318" t="s">
        <v>175</v>
      </c>
      <c r="H37" s="84" t="s">
        <v>176</v>
      </c>
      <c r="I37" s="86">
        <f>ROUND((D37*F37*0.7),5)</f>
        <v>6.7000000000000002E-4</v>
      </c>
      <c r="J37" s="86">
        <f>ROUND((D37*F37*E37*0.7*3600/1000000),5)</f>
        <v>1.4300000000000001E-3</v>
      </c>
      <c r="K37" s="517">
        <f>I37</f>
        <v>6.7000000000000002E-4</v>
      </c>
      <c r="L37" s="517">
        <f>J37</f>
        <v>1.4300000000000001E-3</v>
      </c>
      <c r="M37" s="88"/>
    </row>
    <row r="38" spans="1:13" x14ac:dyDescent="0.25">
      <c r="A38" s="1190" t="s">
        <v>261</v>
      </c>
      <c r="B38" s="1191"/>
      <c r="C38" s="1191"/>
      <c r="D38" s="1191"/>
      <c r="E38" s="1191"/>
      <c r="F38" s="1191"/>
      <c r="G38" s="1191"/>
      <c r="H38" s="1191"/>
      <c r="I38" s="1191"/>
      <c r="J38" s="1192"/>
      <c r="K38" s="315"/>
      <c r="L38" s="315"/>
      <c r="M38" s="88"/>
    </row>
    <row r="39" spans="1:13" ht="25.5" x14ac:dyDescent="0.25">
      <c r="A39" s="84" t="s">
        <v>289</v>
      </c>
      <c r="B39" s="85" t="s">
        <v>180</v>
      </c>
      <c r="C39" s="85" t="s">
        <v>174</v>
      </c>
      <c r="D39" s="86">
        <v>1.5</v>
      </c>
      <c r="E39" s="86">
        <v>280</v>
      </c>
      <c r="F39" s="86">
        <v>1.6000000000000001E-3</v>
      </c>
      <c r="G39" s="318" t="s">
        <v>175</v>
      </c>
      <c r="H39" s="84" t="s">
        <v>176</v>
      </c>
      <c r="I39" s="86">
        <f>ROUND((D39*F39*0.3),5)</f>
        <v>7.2000000000000005E-4</v>
      </c>
      <c r="J39" s="86">
        <f>ROUND((D39*F39*E39*0.3*3600/1000000),5)</f>
        <v>7.2999999999999996E-4</v>
      </c>
      <c r="K39" s="517">
        <f>I39</f>
        <v>7.2000000000000005E-4</v>
      </c>
      <c r="L39" s="517">
        <f>J39</f>
        <v>7.2999999999999996E-4</v>
      </c>
      <c r="M39" s="88"/>
    </row>
    <row r="40" spans="1:13" x14ac:dyDescent="0.25">
      <c r="A40" s="1190" t="s">
        <v>279</v>
      </c>
      <c r="B40" s="1191"/>
      <c r="C40" s="1191"/>
      <c r="D40" s="1191"/>
      <c r="E40" s="1191"/>
      <c r="F40" s="1191"/>
      <c r="G40" s="1191"/>
      <c r="H40" s="1191"/>
      <c r="I40" s="1191"/>
      <c r="J40" s="1192"/>
      <c r="K40" s="315"/>
      <c r="L40" s="315"/>
    </row>
    <row r="41" spans="1:13" ht="25.5" x14ac:dyDescent="0.25">
      <c r="A41" s="56" t="s">
        <v>290</v>
      </c>
      <c r="B41" s="57" t="s">
        <v>180</v>
      </c>
      <c r="C41" s="57" t="s">
        <v>174</v>
      </c>
      <c r="D41" s="58">
        <v>1.5</v>
      </c>
      <c r="E41" s="58">
        <v>280</v>
      </c>
      <c r="F41" s="58">
        <v>1.6000000000000001E-3</v>
      </c>
      <c r="G41" s="317" t="s">
        <v>175</v>
      </c>
      <c r="H41" s="56" t="s">
        <v>176</v>
      </c>
      <c r="I41" s="58">
        <f>ROUND((D41*F41*0.7),5)</f>
        <v>1.6800000000000001E-3</v>
      </c>
      <c r="J41" s="58">
        <f>ROUND((D41*F41*E41*0.7*3600/1000000),5)</f>
        <v>1.6900000000000001E-3</v>
      </c>
      <c r="K41" s="517">
        <f>I41</f>
        <v>1.6800000000000001E-3</v>
      </c>
      <c r="L41" s="517">
        <f>J41</f>
        <v>1.6900000000000001E-3</v>
      </c>
      <c r="M41" s="88"/>
    </row>
    <row r="42" spans="1:13" x14ac:dyDescent="0.25">
      <c r="A42" s="1190" t="s">
        <v>280</v>
      </c>
      <c r="B42" s="1191"/>
      <c r="C42" s="1191"/>
      <c r="D42" s="1191"/>
      <c r="E42" s="1191"/>
      <c r="F42" s="1191"/>
      <c r="G42" s="1191"/>
      <c r="H42" s="1191"/>
      <c r="I42" s="1191"/>
      <c r="J42" s="1192"/>
      <c r="K42" s="315"/>
      <c r="L42" s="315"/>
      <c r="M42" s="88"/>
    </row>
    <row r="43" spans="1:13" ht="25.5" x14ac:dyDescent="0.25">
      <c r="A43" s="84" t="s">
        <v>293</v>
      </c>
      <c r="B43" s="85" t="s">
        <v>902</v>
      </c>
      <c r="C43" s="85" t="s">
        <v>174</v>
      </c>
      <c r="D43" s="86">
        <v>0.6</v>
      </c>
      <c r="E43" s="86">
        <v>494</v>
      </c>
      <c r="F43" s="86">
        <v>1.6000000000000001E-3</v>
      </c>
      <c r="G43" s="318" t="s">
        <v>175</v>
      </c>
      <c r="H43" s="84" t="s">
        <v>176</v>
      </c>
      <c r="I43" s="86">
        <f>ROUND((D43*F43*0.3),5)</f>
        <v>2.9E-4</v>
      </c>
      <c r="J43" s="86">
        <f>ROUND((D43*F43*E43*0.3*3600/1000000),5)</f>
        <v>5.1000000000000004E-4</v>
      </c>
      <c r="K43" s="517">
        <f>I43</f>
        <v>2.9E-4</v>
      </c>
      <c r="L43" s="517">
        <f>J43</f>
        <v>5.1000000000000004E-4</v>
      </c>
      <c r="M43" s="88"/>
    </row>
    <row r="44" spans="1:13" x14ac:dyDescent="0.25">
      <c r="A44" s="1190" t="s">
        <v>284</v>
      </c>
      <c r="B44" s="1191"/>
      <c r="C44" s="1191"/>
      <c r="D44" s="1191"/>
      <c r="E44" s="1191"/>
      <c r="F44" s="1191"/>
      <c r="G44" s="1191"/>
      <c r="H44" s="1191"/>
      <c r="I44" s="1191"/>
      <c r="J44" s="1192"/>
      <c r="K44" s="315"/>
      <c r="L44" s="315"/>
    </row>
    <row r="45" spans="1:13" ht="25.5" x14ac:dyDescent="0.25">
      <c r="A45" s="56" t="s">
        <v>294</v>
      </c>
      <c r="B45" s="85" t="s">
        <v>902</v>
      </c>
      <c r="C45" s="85" t="s">
        <v>174</v>
      </c>
      <c r="D45" s="86">
        <v>0.6</v>
      </c>
      <c r="E45" s="86">
        <v>494</v>
      </c>
      <c r="F45" s="86">
        <v>1.6000000000000001E-3</v>
      </c>
      <c r="G45" s="318" t="s">
        <v>175</v>
      </c>
      <c r="H45" s="84" t="s">
        <v>176</v>
      </c>
      <c r="I45" s="86">
        <f>ROUND((D45*F45*0.7),5)</f>
        <v>6.7000000000000002E-4</v>
      </c>
      <c r="J45" s="86">
        <f>ROUND((D45*F45*E45*0.7*3600/1000000),5)</f>
        <v>1.1999999999999999E-3</v>
      </c>
      <c r="K45" s="517">
        <f>I45</f>
        <v>6.7000000000000002E-4</v>
      </c>
      <c r="L45" s="517">
        <f>J45</f>
        <v>1.1999999999999999E-3</v>
      </c>
      <c r="M45" s="88"/>
    </row>
    <row r="46" spans="1:13" x14ac:dyDescent="0.25">
      <c r="A46" s="1185" t="s">
        <v>316</v>
      </c>
      <c r="B46" s="1186"/>
      <c r="C46" s="1186"/>
      <c r="D46" s="1186"/>
      <c r="E46" s="1186"/>
      <c r="F46" s="1186"/>
      <c r="G46" s="1186"/>
      <c r="H46" s="1186"/>
      <c r="I46" s="1186"/>
      <c r="J46" s="1187"/>
      <c r="K46" s="315"/>
      <c r="L46" s="315"/>
    </row>
    <row r="47" spans="1:13" ht="51" x14ac:dyDescent="0.25">
      <c r="A47" s="1188" t="s">
        <v>315</v>
      </c>
      <c r="B47" s="85" t="s">
        <v>317</v>
      </c>
      <c r="C47" s="85" t="s">
        <v>241</v>
      </c>
      <c r="D47" s="86">
        <v>3.5000000000000003E-2</v>
      </c>
      <c r="E47" s="86">
        <v>336</v>
      </c>
      <c r="F47" s="86">
        <v>3.168E-2</v>
      </c>
      <c r="G47" s="318" t="s">
        <v>242</v>
      </c>
      <c r="H47" s="84" t="s">
        <v>243</v>
      </c>
      <c r="I47" s="86">
        <f>ROUND((D47*F47),5)</f>
        <v>1.1100000000000001E-3</v>
      </c>
      <c r="J47" s="86">
        <f>ROUND((D47*F47*E47*3600/1000000),5)</f>
        <v>1.34E-3</v>
      </c>
      <c r="K47" s="517"/>
      <c r="L47" s="517"/>
    </row>
    <row r="48" spans="1:13" ht="51" x14ac:dyDescent="0.25">
      <c r="A48" s="1189"/>
      <c r="B48" s="85" t="s">
        <v>318</v>
      </c>
      <c r="C48" s="85" t="s">
        <v>241</v>
      </c>
      <c r="D48" s="86">
        <v>3.5000000000000003E-2</v>
      </c>
      <c r="E48" s="86">
        <v>889</v>
      </c>
      <c r="F48" s="86">
        <v>3.168E-2</v>
      </c>
      <c r="G48" s="318" t="s">
        <v>242</v>
      </c>
      <c r="H48" s="84" t="s">
        <v>243</v>
      </c>
      <c r="I48" s="86">
        <f>ROUND((D48*F48),5)</f>
        <v>1.1100000000000001E-3</v>
      </c>
      <c r="J48" s="86">
        <f>ROUND((D48*F48*E48*3600/1000000),5)</f>
        <v>3.5500000000000002E-3</v>
      </c>
      <c r="K48" s="517"/>
      <c r="L48" s="517"/>
    </row>
    <row r="49" spans="1:12" x14ac:dyDescent="0.25">
      <c r="A49" s="1182" t="s">
        <v>448</v>
      </c>
      <c r="B49" s="1183"/>
      <c r="C49" s="1183"/>
      <c r="D49" s="1183"/>
      <c r="E49" s="1183"/>
      <c r="F49" s="1184"/>
      <c r="G49" s="319" t="s">
        <v>242</v>
      </c>
      <c r="H49" s="156" t="s">
        <v>243</v>
      </c>
      <c r="I49" s="136">
        <f>I47+I48</f>
        <v>2.2200000000000002E-3</v>
      </c>
      <c r="J49" s="136">
        <f>J47+J48</f>
        <v>4.8900000000000002E-3</v>
      </c>
      <c r="K49" s="517">
        <f>I49</f>
        <v>2.2200000000000002E-3</v>
      </c>
      <c r="L49" s="517">
        <f>J49</f>
        <v>4.8900000000000002E-3</v>
      </c>
    </row>
    <row r="50" spans="1:12" x14ac:dyDescent="0.25">
      <c r="K50" s="906">
        <f>SUM(K24:K49)</f>
        <v>4.3049999999999991E-2</v>
      </c>
      <c r="L50" s="906">
        <f>SUM(L24:L49)</f>
        <v>8.9169999999999999E-2</v>
      </c>
    </row>
  </sheetData>
  <mergeCells count="37">
    <mergeCell ref="D19:D20"/>
    <mergeCell ref="E19:E20"/>
    <mergeCell ref="F19:F20"/>
    <mergeCell ref="A38:J38"/>
    <mergeCell ref="A27:J27"/>
    <mergeCell ref="A28:A30"/>
    <mergeCell ref="A25:J25"/>
    <mergeCell ref="A34:J34"/>
    <mergeCell ref="A36:J36"/>
    <mergeCell ref="A31:F33"/>
    <mergeCell ref="A1:J1"/>
    <mergeCell ref="A49:F49"/>
    <mergeCell ref="A46:J46"/>
    <mergeCell ref="A47:A48"/>
    <mergeCell ref="A40:J40"/>
    <mergeCell ref="A42:J42"/>
    <mergeCell ref="A44:J44"/>
    <mergeCell ref="A23:J23"/>
    <mergeCell ref="G19:G20"/>
    <mergeCell ref="H19:H20"/>
    <mergeCell ref="I19:I20"/>
    <mergeCell ref="J19:J20"/>
    <mergeCell ref="A22:J22"/>
    <mergeCell ref="A19:A20"/>
    <mergeCell ref="B19:B20"/>
    <mergeCell ref="C19:C20"/>
    <mergeCell ref="A16:R16"/>
    <mergeCell ref="A15:X15"/>
    <mergeCell ref="A14:U14"/>
    <mergeCell ref="A12:N12"/>
    <mergeCell ref="A3:P3"/>
    <mergeCell ref="A8:J8"/>
    <mergeCell ref="A10:J10"/>
    <mergeCell ref="A4:J4"/>
    <mergeCell ref="A7:J7"/>
    <mergeCell ref="A6:J6"/>
    <mergeCell ref="A13:U13"/>
  </mergeCells>
  <pageMargins left="0.31496062992125984" right="0.31496062992125984" top="0.78740157480314965" bottom="0.39370078740157483" header="0.31496062992125984" footer="0.19685039370078741"/>
  <pageSetup paperSize="9" firstPageNumber="33" orientation="landscape" useFirstPageNumber="1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Y39"/>
  <sheetViews>
    <sheetView view="pageBreakPreview" topLeftCell="A18" zoomScaleNormal="100" zoomScaleSheetLayoutView="100" workbookViewId="0">
      <selection activeCell="M22" sqref="M22"/>
    </sheetView>
  </sheetViews>
  <sheetFormatPr defaultRowHeight="15" x14ac:dyDescent="0.25"/>
  <cols>
    <col min="1" max="1" width="6.140625" customWidth="1"/>
    <col min="2" max="2" width="21.140625" customWidth="1"/>
    <col min="3" max="3" width="10.140625" customWidth="1"/>
    <col min="4" max="4" width="8.42578125" customWidth="1"/>
    <col min="5" max="5" width="7.42578125" customWidth="1"/>
    <col min="6" max="6" width="7.7109375" customWidth="1"/>
    <col min="7" max="7" width="8" customWidth="1"/>
    <col min="8" max="8" width="29.140625" customWidth="1"/>
    <col min="9" max="9" width="5.85546875" customWidth="1"/>
    <col min="10" max="10" width="8.140625" customWidth="1"/>
    <col min="11" max="11" width="13.28515625" customWidth="1"/>
    <col min="12" max="12" width="15.140625" customWidth="1"/>
    <col min="13" max="14" width="13.140625" customWidth="1"/>
  </cols>
  <sheetData>
    <row r="1" spans="1:25" s="320" customFormat="1" ht="18.75" x14ac:dyDescent="0.3">
      <c r="A1" s="1222" t="s">
        <v>908</v>
      </c>
      <c r="B1" s="1222"/>
      <c r="C1" s="1222"/>
      <c r="D1" s="1222"/>
      <c r="E1" s="1222"/>
      <c r="F1" s="1222"/>
      <c r="G1" s="1222"/>
      <c r="H1" s="1222"/>
      <c r="I1" s="1222"/>
      <c r="J1" s="1222"/>
    </row>
    <row r="2" spans="1:25" s="273" customFormat="1" ht="15.75" customHeight="1" x14ac:dyDescent="0.25">
      <c r="A2" s="1224" t="s">
        <v>796</v>
      </c>
      <c r="B2" s="1224"/>
      <c r="C2" s="1224"/>
      <c r="D2" s="1224"/>
      <c r="E2" s="1224"/>
      <c r="F2" s="1224"/>
      <c r="G2" s="1224"/>
      <c r="H2" s="1224"/>
      <c r="I2" s="1224"/>
      <c r="J2" s="1224"/>
      <c r="K2" s="1224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</row>
    <row r="3" spans="1:25" s="273" customFormat="1" ht="33.75" customHeight="1" x14ac:dyDescent="0.25">
      <c r="A3" s="1066" t="s">
        <v>909</v>
      </c>
      <c r="B3" s="1066"/>
      <c r="C3" s="1066"/>
      <c r="D3" s="1066"/>
      <c r="E3" s="1066"/>
      <c r="F3" s="1066"/>
      <c r="G3" s="1066"/>
      <c r="H3" s="1066"/>
      <c r="I3" s="1066"/>
      <c r="J3" s="1066"/>
      <c r="K3" s="1066"/>
      <c r="L3" s="1066"/>
      <c r="M3" s="203"/>
      <c r="N3" s="203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s="270" customFormat="1" x14ac:dyDescent="0.25"/>
    <row r="5" spans="1:25" s="273" customFormat="1" ht="18.75" x14ac:dyDescent="0.3">
      <c r="A5" s="1221" t="s">
        <v>904</v>
      </c>
      <c r="B5" s="1221"/>
      <c r="C5" s="1221"/>
      <c r="D5" s="1221"/>
      <c r="E5" s="1221"/>
      <c r="F5" s="1221"/>
      <c r="G5" s="1221"/>
      <c r="H5" s="1221"/>
      <c r="I5" s="1221"/>
      <c r="J5" s="1221"/>
    </row>
    <row r="6" spans="1:25" s="273" customFormat="1" ht="12" customHeight="1" x14ac:dyDescent="0.3">
      <c r="A6" s="276"/>
      <c r="B6" s="276"/>
      <c r="C6" s="276"/>
      <c r="D6" s="276"/>
      <c r="E6" s="276"/>
      <c r="F6" s="276"/>
      <c r="G6" s="276"/>
      <c r="H6" s="276"/>
      <c r="I6" s="276"/>
      <c r="J6" s="276"/>
    </row>
    <row r="7" spans="1:25" s="273" customFormat="1" ht="15.75" customHeight="1" x14ac:dyDescent="0.3">
      <c r="A7" s="1222" t="s">
        <v>910</v>
      </c>
      <c r="B7" s="1222"/>
      <c r="C7" s="1222"/>
      <c r="D7" s="1222"/>
      <c r="E7" s="1222"/>
      <c r="F7" s="1222"/>
      <c r="G7" s="1222"/>
      <c r="H7" s="1222"/>
      <c r="I7" s="1222"/>
      <c r="J7" s="1222"/>
    </row>
    <row r="8" spans="1:25" s="270" customFormat="1" ht="5.25" customHeight="1" x14ac:dyDescent="0.25">
      <c r="A8" s="275"/>
      <c r="B8" s="275"/>
      <c r="C8" s="275"/>
      <c r="D8" s="275"/>
      <c r="E8" s="275"/>
      <c r="F8" s="275"/>
      <c r="G8" s="275"/>
      <c r="H8" s="275"/>
      <c r="I8" s="275"/>
      <c r="J8" s="275"/>
    </row>
    <row r="9" spans="1:25" s="270" customFormat="1" ht="15" customHeight="1" x14ac:dyDescent="0.25">
      <c r="A9" s="1066" t="s">
        <v>801</v>
      </c>
      <c r="B9" s="1066"/>
      <c r="C9" s="1066"/>
      <c r="D9" s="1066"/>
      <c r="E9" s="1066"/>
      <c r="F9" s="1066"/>
      <c r="G9" s="1066"/>
      <c r="H9" s="1066"/>
      <c r="I9" s="1066"/>
      <c r="J9" s="1066"/>
    </row>
    <row r="10" spans="1:25" s="270" customFormat="1" ht="15" customHeight="1" x14ac:dyDescent="0.25">
      <c r="A10" s="1066" t="s">
        <v>912</v>
      </c>
      <c r="B10" s="1066"/>
      <c r="C10" s="1066"/>
      <c r="D10" s="1066"/>
      <c r="E10" s="1066"/>
      <c r="F10" s="1066"/>
      <c r="G10" s="1066"/>
      <c r="H10" s="1066"/>
      <c r="I10" s="1066"/>
      <c r="J10" s="1066"/>
    </row>
    <row r="11" spans="1:25" s="270" customFormat="1" ht="19.5" customHeight="1" x14ac:dyDescent="0.25">
      <c r="A11" s="1066" t="s">
        <v>911</v>
      </c>
      <c r="B11" s="1066"/>
      <c r="C11" s="1066"/>
      <c r="D11" s="1066"/>
      <c r="E11" s="1066"/>
      <c r="F11" s="1066"/>
      <c r="G11" s="1066"/>
      <c r="H11" s="1066"/>
      <c r="I11" s="1066"/>
      <c r="J11" s="1066"/>
    </row>
    <row r="12" spans="1:25" s="270" customFormat="1" x14ac:dyDescent="0.25"/>
    <row r="13" spans="1:25" s="320" customFormat="1" ht="18.75" x14ac:dyDescent="0.3">
      <c r="A13" s="1221" t="s">
        <v>905</v>
      </c>
      <c r="B13" s="1221"/>
      <c r="C13" s="1221"/>
      <c r="D13" s="1221"/>
      <c r="E13" s="1221"/>
      <c r="F13" s="1221"/>
      <c r="G13" s="1221"/>
      <c r="H13" s="1221"/>
      <c r="I13" s="1221"/>
      <c r="J13" s="1221"/>
    </row>
    <row r="14" spans="1:25" s="273" customFormat="1" ht="8.25" customHeight="1" x14ac:dyDescent="0.25">
      <c r="A14" s="274"/>
      <c r="B14" s="274"/>
      <c r="C14" s="274"/>
      <c r="D14" s="274"/>
      <c r="E14" s="274"/>
      <c r="F14" s="274"/>
      <c r="G14" s="274"/>
      <c r="H14" s="274"/>
      <c r="I14" s="274"/>
      <c r="J14" s="274"/>
    </row>
    <row r="15" spans="1:25" s="273" customFormat="1" ht="18.75" x14ac:dyDescent="0.3">
      <c r="A15" s="1222" t="s">
        <v>906</v>
      </c>
      <c r="B15" s="1222"/>
      <c r="C15" s="1222"/>
      <c r="D15" s="1222"/>
      <c r="E15" s="1222"/>
      <c r="F15" s="1222"/>
      <c r="G15" s="1222"/>
      <c r="H15" s="1222"/>
      <c r="I15" s="1222"/>
      <c r="J15" s="1222"/>
    </row>
    <row r="16" spans="1:25" s="270" customFormat="1" ht="9.75" customHeight="1" x14ac:dyDescent="0.25"/>
    <row r="17" spans="1:21" s="270" customFormat="1" x14ac:dyDescent="0.25">
      <c r="A17" s="1223" t="s">
        <v>907</v>
      </c>
      <c r="B17" s="1223"/>
      <c r="C17" s="1223"/>
      <c r="D17" s="1223"/>
      <c r="E17" s="1223"/>
      <c r="F17" s="1223"/>
      <c r="G17" s="1223"/>
      <c r="H17" s="1223"/>
      <c r="I17" s="1223"/>
      <c r="J17" s="1223"/>
    </row>
    <row r="18" spans="1:21" s="197" customFormat="1" ht="30" customHeight="1" x14ac:dyDescent="0.25">
      <c r="A18" s="1043" t="s">
        <v>1493</v>
      </c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  <c r="O18" s="1043"/>
      <c r="P18" s="1043"/>
      <c r="Q18" s="1043"/>
      <c r="R18" s="1043"/>
      <c r="S18" s="266"/>
      <c r="T18" s="266"/>
      <c r="U18" s="266"/>
    </row>
    <row r="19" spans="1:21" s="270" customFormat="1" x14ac:dyDescent="0.25"/>
    <row r="20" spans="1:21" s="253" customFormat="1" ht="18.75" x14ac:dyDescent="0.3">
      <c r="A20" s="1220" t="s">
        <v>925</v>
      </c>
      <c r="B20" s="1220"/>
      <c r="C20" s="1220"/>
      <c r="D20" s="1220"/>
      <c r="E20" s="1220"/>
      <c r="F20" s="1220"/>
      <c r="G20" s="1220"/>
      <c r="H20" s="1220"/>
      <c r="I20" s="1220"/>
      <c r="J20" s="1220"/>
      <c r="K20" s="1220"/>
      <c r="L20" s="1220"/>
      <c r="M20" s="276"/>
      <c r="N20" s="276"/>
    </row>
    <row r="21" spans="1:21" s="322" customFormat="1" ht="15.75" x14ac:dyDescent="0.25">
      <c r="A21" s="1219" t="s">
        <v>143</v>
      </c>
      <c r="B21" s="1219" t="s">
        <v>222</v>
      </c>
      <c r="C21" s="1248" t="s">
        <v>232</v>
      </c>
      <c r="D21" s="1249" t="s">
        <v>233</v>
      </c>
      <c r="E21" s="1248" t="s">
        <v>223</v>
      </c>
      <c r="F21" s="1248" t="s">
        <v>236</v>
      </c>
      <c r="G21" s="1219" t="s">
        <v>224</v>
      </c>
      <c r="H21" s="1219" t="s">
        <v>20</v>
      </c>
      <c r="I21" s="1219" t="s">
        <v>21</v>
      </c>
      <c r="J21" s="1219" t="s">
        <v>871</v>
      </c>
      <c r="K21" s="1243" t="s">
        <v>125</v>
      </c>
      <c r="L21" s="1243"/>
      <c r="M21" s="907"/>
      <c r="N21" s="907"/>
    </row>
    <row r="22" spans="1:21" s="322" customFormat="1" ht="84" customHeight="1" x14ac:dyDescent="0.25">
      <c r="A22" s="1219"/>
      <c r="B22" s="1219"/>
      <c r="C22" s="1248"/>
      <c r="D22" s="1250"/>
      <c r="E22" s="1248"/>
      <c r="F22" s="1248"/>
      <c r="G22" s="1219"/>
      <c r="H22" s="1219"/>
      <c r="I22" s="1219"/>
      <c r="J22" s="1219"/>
      <c r="K22" s="321" t="s">
        <v>18</v>
      </c>
      <c r="L22" s="321" t="s">
        <v>19</v>
      </c>
      <c r="M22" s="191"/>
      <c r="N22" s="191"/>
    </row>
    <row r="23" spans="1:21" s="326" customFormat="1" ht="20.100000000000001" customHeight="1" x14ac:dyDescent="0.25">
      <c r="A23" s="311">
        <v>1</v>
      </c>
      <c r="B23" s="311">
        <v>2</v>
      </c>
      <c r="C23" s="311">
        <v>3</v>
      </c>
      <c r="D23" s="311">
        <v>4</v>
      </c>
      <c r="E23" s="311">
        <v>5</v>
      </c>
      <c r="F23" s="311">
        <v>6</v>
      </c>
      <c r="G23" s="311">
        <v>7</v>
      </c>
      <c r="H23" s="311">
        <v>8</v>
      </c>
      <c r="I23" s="324">
        <v>9</v>
      </c>
      <c r="J23" s="324">
        <v>10</v>
      </c>
      <c r="K23" s="324">
        <v>11</v>
      </c>
      <c r="L23" s="324">
        <v>12</v>
      </c>
      <c r="M23" s="450"/>
      <c r="N23" s="450"/>
    </row>
    <row r="24" spans="1:21" s="322" customFormat="1" ht="15.75" x14ac:dyDescent="0.25">
      <c r="A24" s="1244" t="s">
        <v>148</v>
      </c>
      <c r="B24" s="1245"/>
      <c r="C24" s="1246"/>
      <c r="D24" s="1246"/>
      <c r="E24" s="1246"/>
      <c r="F24" s="1246"/>
      <c r="G24" s="1246"/>
      <c r="H24" s="1246"/>
      <c r="I24" s="1246"/>
      <c r="J24" s="1246"/>
      <c r="K24" s="1246"/>
      <c r="L24" s="1247"/>
      <c r="M24" s="908"/>
      <c r="N24" s="908"/>
    </row>
    <row r="25" spans="1:21" s="322" customFormat="1" ht="15" customHeight="1" x14ac:dyDescent="0.25">
      <c r="A25" s="1239" t="s">
        <v>253</v>
      </c>
      <c r="B25" s="1240"/>
      <c r="C25" s="1241"/>
      <c r="D25" s="1241"/>
      <c r="E25" s="1241"/>
      <c r="F25" s="1241"/>
      <c r="G25" s="1241"/>
      <c r="H25" s="1241"/>
      <c r="I25" s="1241"/>
      <c r="J25" s="1241"/>
      <c r="K25" s="1241"/>
      <c r="L25" s="1242"/>
      <c r="M25" s="909"/>
      <c r="N25" s="909"/>
    </row>
    <row r="26" spans="1:21" s="264" customFormat="1" ht="34.5" customHeight="1" x14ac:dyDescent="0.25">
      <c r="A26" s="792" t="s">
        <v>262</v>
      </c>
      <c r="B26" s="793" t="s">
        <v>230</v>
      </c>
      <c r="C26" s="794" t="s">
        <v>231</v>
      </c>
      <c r="D26" s="795">
        <v>3.4</v>
      </c>
      <c r="E26" s="796">
        <v>1316</v>
      </c>
      <c r="F26" s="795">
        <v>0.85</v>
      </c>
      <c r="G26" s="795" t="s">
        <v>165</v>
      </c>
      <c r="H26" s="797" t="s">
        <v>234</v>
      </c>
      <c r="I26" s="792" t="s">
        <v>235</v>
      </c>
      <c r="J26" s="792"/>
      <c r="K26" s="795">
        <f>ROUND((((D26/E26)*F26*1000)/3600),6)</f>
        <v>6.0999999999999997E-4</v>
      </c>
      <c r="L26" s="795">
        <f>ROUND((K26*E26*3600/1000000),5)</f>
        <v>2.8900000000000002E-3</v>
      </c>
      <c r="M26" s="910" t="s">
        <v>1523</v>
      </c>
      <c r="N26" s="910"/>
    </row>
    <row r="27" spans="1:21" s="264" customFormat="1" ht="20.100000000000001" customHeight="1" x14ac:dyDescent="0.25">
      <c r="A27" s="798" t="s">
        <v>229</v>
      </c>
      <c r="B27" s="799"/>
      <c r="C27" s="794" t="s">
        <v>237</v>
      </c>
      <c r="D27" s="795">
        <v>26.7</v>
      </c>
      <c r="E27" s="796">
        <v>1316</v>
      </c>
      <c r="F27" s="796"/>
      <c r="G27" s="795">
        <v>0.51</v>
      </c>
      <c r="H27" s="797" t="s">
        <v>225</v>
      </c>
      <c r="I27" s="792" t="s">
        <v>226</v>
      </c>
      <c r="J27" s="792" t="s">
        <v>1482</v>
      </c>
      <c r="K27" s="795">
        <f>ROUND((L27*1000000/(E27*3600)),9)</f>
        <v>2.0000000000000001E-9</v>
      </c>
      <c r="L27" s="795">
        <f>ROUND(((G27*D27/1000000)*(1-J27/100)),8)</f>
        <v>1E-8</v>
      </c>
      <c r="M27" s="910"/>
      <c r="N27" s="910"/>
    </row>
    <row r="28" spans="1:21" s="264" customFormat="1" ht="20.100000000000001" customHeight="1" x14ac:dyDescent="0.25">
      <c r="A28" s="800"/>
      <c r="B28" s="800"/>
      <c r="C28" s="801"/>
      <c r="D28" s="802"/>
      <c r="E28" s="803"/>
      <c r="F28" s="803"/>
      <c r="G28" s="802">
        <v>0.28000000000000003</v>
      </c>
      <c r="H28" s="804" t="s">
        <v>227</v>
      </c>
      <c r="I28" s="805" t="s">
        <v>228</v>
      </c>
      <c r="J28" s="805" t="s">
        <v>1482</v>
      </c>
      <c r="K28" s="802">
        <f>ROUND((L28*1000000/(E27*3600)),9)</f>
        <v>2.0000000000000001E-9</v>
      </c>
      <c r="L28" s="802">
        <f>ROUND(((G28*D27/1000000)*(1-J28/100)),8)</f>
        <v>1E-8</v>
      </c>
      <c r="M28" s="910">
        <f>SUM(K26:K28)</f>
        <v>6.1000400000000004E-4</v>
      </c>
      <c r="N28" s="910">
        <f>SUM(L26:L28)</f>
        <v>2.8900200000000001E-3</v>
      </c>
    </row>
    <row r="29" spans="1:21" s="322" customFormat="1" ht="20.100000000000001" customHeight="1" x14ac:dyDescent="0.25">
      <c r="A29" s="1239" t="s">
        <v>924</v>
      </c>
      <c r="B29" s="1240"/>
      <c r="C29" s="1241"/>
      <c r="D29" s="1241"/>
      <c r="E29" s="1241"/>
      <c r="F29" s="1241"/>
      <c r="G29" s="1241"/>
      <c r="H29" s="1241"/>
      <c r="I29" s="1241"/>
      <c r="J29" s="1241"/>
      <c r="K29" s="1241"/>
      <c r="L29" s="1242"/>
      <c r="M29" s="909"/>
      <c r="N29" s="909"/>
      <c r="O29" s="328"/>
      <c r="P29" s="328"/>
      <c r="Q29" s="328"/>
    </row>
    <row r="30" spans="1:21" s="264" customFormat="1" ht="30.75" customHeight="1" x14ac:dyDescent="0.25">
      <c r="A30" s="1225" t="s">
        <v>320</v>
      </c>
      <c r="B30" s="1225" t="s">
        <v>319</v>
      </c>
      <c r="C30" s="794" t="s">
        <v>231</v>
      </c>
      <c r="D30" s="795">
        <v>0.9</v>
      </c>
      <c r="E30" s="796">
        <v>336</v>
      </c>
      <c r="F30" s="795">
        <v>0.85</v>
      </c>
      <c r="G30" s="795" t="s">
        <v>165</v>
      </c>
      <c r="H30" s="797" t="s">
        <v>234</v>
      </c>
      <c r="I30" s="792" t="s">
        <v>235</v>
      </c>
      <c r="J30" s="792"/>
      <c r="K30" s="795">
        <f>ROUND((((D30/E30)*F30*1000)/3600),6)</f>
        <v>6.3199999999999997E-4</v>
      </c>
      <c r="L30" s="795">
        <f>ROUND((K30*E30*3600/1000000),5)</f>
        <v>7.6000000000000004E-4</v>
      </c>
      <c r="M30" s="910"/>
      <c r="N30" s="910"/>
      <c r="O30" s="806"/>
      <c r="P30" s="806"/>
      <c r="Q30" s="806"/>
    </row>
    <row r="31" spans="1:21" s="264" customFormat="1" ht="20.100000000000001" customHeight="1" x14ac:dyDescent="0.25">
      <c r="A31" s="1228"/>
      <c r="B31" s="1226"/>
      <c r="C31" s="794" t="s">
        <v>237</v>
      </c>
      <c r="D31" s="795">
        <v>6.7</v>
      </c>
      <c r="E31" s="796">
        <v>336</v>
      </c>
      <c r="F31" s="796"/>
      <c r="G31" s="795">
        <v>0.51</v>
      </c>
      <c r="H31" s="797" t="s">
        <v>225</v>
      </c>
      <c r="I31" s="792" t="s">
        <v>226</v>
      </c>
      <c r="J31" s="792" t="s">
        <v>1482</v>
      </c>
      <c r="K31" s="795">
        <f>ROUND((L31*1000000/(E31*3600)),9)</f>
        <v>2.0000000000000001E-9</v>
      </c>
      <c r="L31" s="795">
        <f>ROUND(((G31*D31/1000000)*(1-J31/100)),9)</f>
        <v>3E-9</v>
      </c>
      <c r="M31" s="910"/>
      <c r="N31" s="910"/>
      <c r="O31" s="807"/>
      <c r="Q31" s="807"/>
    </row>
    <row r="32" spans="1:21" s="264" customFormat="1" ht="20.100000000000001" customHeight="1" x14ac:dyDescent="0.25">
      <c r="A32" s="1228"/>
      <c r="B32" s="1227"/>
      <c r="C32" s="801"/>
      <c r="D32" s="802"/>
      <c r="E32" s="803"/>
      <c r="F32" s="803"/>
      <c r="G32" s="802">
        <v>0.28000000000000003</v>
      </c>
      <c r="H32" s="804" t="s">
        <v>227</v>
      </c>
      <c r="I32" s="805" t="s">
        <v>228</v>
      </c>
      <c r="J32" s="805" t="s">
        <v>1482</v>
      </c>
      <c r="K32" s="802">
        <f>ROUND((L32*1000000/(E31*3600)),9)</f>
        <v>2.0000000000000001E-9</v>
      </c>
      <c r="L32" s="802">
        <f>ROUND(((G32*D31/1000000)*(1-J32/100)),9)</f>
        <v>2.0000000000000001E-9</v>
      </c>
      <c r="M32" s="910"/>
      <c r="N32" s="910"/>
      <c r="O32" s="807"/>
      <c r="P32" s="807"/>
      <c r="Q32" s="807"/>
    </row>
    <row r="33" spans="1:16" s="264" customFormat="1" ht="33.75" customHeight="1" x14ac:dyDescent="0.25">
      <c r="A33" s="1228"/>
      <c r="B33" s="1225" t="s">
        <v>321</v>
      </c>
      <c r="C33" s="794" t="s">
        <v>231</v>
      </c>
      <c r="D33" s="795">
        <v>3.4</v>
      </c>
      <c r="E33" s="796">
        <v>889</v>
      </c>
      <c r="F33" s="795">
        <v>0.85</v>
      </c>
      <c r="G33" s="795" t="s">
        <v>165</v>
      </c>
      <c r="H33" s="797" t="s">
        <v>234</v>
      </c>
      <c r="I33" s="792" t="s">
        <v>235</v>
      </c>
      <c r="J33" s="792"/>
      <c r="K33" s="795">
        <f>ROUND((((D33/E33)*F33*1000)/3600),6)</f>
        <v>9.0300000000000005E-4</v>
      </c>
      <c r="L33" s="795">
        <f>ROUND((K33*E33*3600/1000000),5)</f>
        <v>2.8900000000000002E-3</v>
      </c>
      <c r="M33" s="910"/>
      <c r="N33" s="910"/>
      <c r="P33" s="806"/>
    </row>
    <row r="34" spans="1:16" s="264" customFormat="1" ht="20.100000000000001" customHeight="1" x14ac:dyDescent="0.25">
      <c r="A34" s="1228"/>
      <c r="B34" s="1226"/>
      <c r="C34" s="794" t="s">
        <v>237</v>
      </c>
      <c r="D34" s="795">
        <v>26.7</v>
      </c>
      <c r="E34" s="796">
        <v>889</v>
      </c>
      <c r="F34" s="796"/>
      <c r="G34" s="795">
        <v>0.51</v>
      </c>
      <c r="H34" s="797" t="s">
        <v>225</v>
      </c>
      <c r="I34" s="792" t="s">
        <v>226</v>
      </c>
      <c r="J34" s="792" t="s">
        <v>1482</v>
      </c>
      <c r="K34" s="795">
        <f>ROUND((L34*1000000/(E34*3600)),9)</f>
        <v>4.0000000000000002E-9</v>
      </c>
      <c r="L34" s="795">
        <f>ROUND(((G34*D34/1000000)*(1-J34/100)),9)</f>
        <v>1.4E-8</v>
      </c>
      <c r="M34" s="910"/>
      <c r="N34" s="910"/>
    </row>
    <row r="35" spans="1:16" s="264" customFormat="1" ht="20.100000000000001" customHeight="1" x14ac:dyDescent="0.25">
      <c r="A35" s="1229"/>
      <c r="B35" s="1227"/>
      <c r="C35" s="801"/>
      <c r="D35" s="802"/>
      <c r="E35" s="803"/>
      <c r="F35" s="803"/>
      <c r="G35" s="802">
        <v>0.28000000000000003</v>
      </c>
      <c r="H35" s="804" t="s">
        <v>227</v>
      </c>
      <c r="I35" s="805" t="s">
        <v>228</v>
      </c>
      <c r="J35" s="805" t="s">
        <v>1482</v>
      </c>
      <c r="K35" s="802">
        <f>ROUND((L35*1000000/(E34*3600)),9)</f>
        <v>2.0000000000000001E-9</v>
      </c>
      <c r="L35" s="802">
        <f>ROUND(((G35*D34/1000000)*(1-J35/100)),9)</f>
        <v>6.9999999999999998E-9</v>
      </c>
      <c r="M35" s="910"/>
      <c r="N35" s="910"/>
    </row>
    <row r="36" spans="1:16" s="264" customFormat="1" ht="20.100000000000001" customHeight="1" x14ac:dyDescent="0.25">
      <c r="A36" s="1230" t="s">
        <v>346</v>
      </c>
      <c r="B36" s="1231"/>
      <c r="C36" s="1231"/>
      <c r="D36" s="1231"/>
      <c r="E36" s="1231"/>
      <c r="F36" s="1231"/>
      <c r="G36" s="1232"/>
      <c r="H36" s="808" t="s">
        <v>234</v>
      </c>
      <c r="I36" s="809" t="s">
        <v>235</v>
      </c>
      <c r="J36" s="810"/>
      <c r="K36" s="811">
        <f t="shared" ref="K36:L38" si="0">K30+K33</f>
        <v>1.5349999999999999E-3</v>
      </c>
      <c r="L36" s="811">
        <f t="shared" si="0"/>
        <v>3.6500000000000005E-3</v>
      </c>
      <c r="M36" s="812"/>
      <c r="N36" s="812"/>
    </row>
    <row r="37" spans="1:16" s="264" customFormat="1" ht="20.100000000000001" customHeight="1" x14ac:dyDescent="0.25">
      <c r="A37" s="1233"/>
      <c r="B37" s="1234"/>
      <c r="C37" s="1234"/>
      <c r="D37" s="1234"/>
      <c r="E37" s="1234"/>
      <c r="F37" s="1234"/>
      <c r="G37" s="1235"/>
      <c r="H37" s="813" t="s">
        <v>225</v>
      </c>
      <c r="I37" s="814" t="s">
        <v>226</v>
      </c>
      <c r="J37" s="799"/>
      <c r="K37" s="815">
        <f>K31+K34</f>
        <v>6.0000000000000008E-9</v>
      </c>
      <c r="L37" s="815">
        <f t="shared" si="0"/>
        <v>1.7E-8</v>
      </c>
      <c r="M37" s="812"/>
      <c r="N37" s="812"/>
    </row>
    <row r="38" spans="1:16" s="264" customFormat="1" ht="20.100000000000001" customHeight="1" x14ac:dyDescent="0.25">
      <c r="A38" s="1236"/>
      <c r="B38" s="1237"/>
      <c r="C38" s="1237"/>
      <c r="D38" s="1237"/>
      <c r="E38" s="1237"/>
      <c r="F38" s="1237"/>
      <c r="G38" s="1238"/>
      <c r="H38" s="816" t="s">
        <v>227</v>
      </c>
      <c r="I38" s="817" t="s">
        <v>228</v>
      </c>
      <c r="J38" s="800"/>
      <c r="K38" s="818">
        <f t="shared" si="0"/>
        <v>4.0000000000000002E-9</v>
      </c>
      <c r="L38" s="818">
        <f t="shared" si="0"/>
        <v>8.9999999999999995E-9</v>
      </c>
      <c r="M38" s="910">
        <f>SUM(K36:K38)</f>
        <v>1.5350100000000001E-3</v>
      </c>
      <c r="N38" s="910">
        <f>SUM(L36:L38)</f>
        <v>3.6500260000000007E-3</v>
      </c>
    </row>
    <row r="39" spans="1:16" x14ac:dyDescent="0.25">
      <c r="M39" s="865">
        <f>SUM(M27:M38)</f>
        <v>2.1450140000000002E-3</v>
      </c>
      <c r="N39" s="865">
        <f>SUM(N27:N38)</f>
        <v>6.5400460000000007E-3</v>
      </c>
    </row>
  </sheetData>
  <mergeCells count="31">
    <mergeCell ref="B33:B35"/>
    <mergeCell ref="A30:A35"/>
    <mergeCell ref="A36:G38"/>
    <mergeCell ref="H21:H22"/>
    <mergeCell ref="I21:I22"/>
    <mergeCell ref="A29:L29"/>
    <mergeCell ref="B30:B32"/>
    <mergeCell ref="K21:L21"/>
    <mergeCell ref="A25:L25"/>
    <mergeCell ref="A24:L24"/>
    <mergeCell ref="F21:F22"/>
    <mergeCell ref="A21:A22"/>
    <mergeCell ref="B21:B22"/>
    <mergeCell ref="C21:C22"/>
    <mergeCell ref="D21:D22"/>
    <mergeCell ref="E21:E22"/>
    <mergeCell ref="A3:L3"/>
    <mergeCell ref="A10:J10"/>
    <mergeCell ref="A11:J11"/>
    <mergeCell ref="A1:J1"/>
    <mergeCell ref="A2:K2"/>
    <mergeCell ref="A5:J5"/>
    <mergeCell ref="A7:J7"/>
    <mergeCell ref="A9:J9"/>
    <mergeCell ref="G21:G22"/>
    <mergeCell ref="J21:J22"/>
    <mergeCell ref="A20:L20"/>
    <mergeCell ref="A13:J13"/>
    <mergeCell ref="A15:J15"/>
    <mergeCell ref="A17:J17"/>
    <mergeCell ref="A18:R18"/>
  </mergeCells>
  <pageMargins left="0.31496062992125984" right="0.31496062992125984" top="0.78740157480314965" bottom="0.39370078740157483" header="0.31496062992125984" footer="0.19685039370078741"/>
  <pageSetup paperSize="9" firstPageNumber="35" orientation="landscape" useFirstPageNumber="1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0"/>
  <sheetViews>
    <sheetView view="pageBreakPreview" topLeftCell="A19" zoomScaleNormal="100" zoomScaleSheetLayoutView="100" workbookViewId="0">
      <selection activeCell="V36" sqref="V36"/>
    </sheetView>
  </sheetViews>
  <sheetFormatPr defaultRowHeight="15" x14ac:dyDescent="0.25"/>
  <cols>
    <col min="1" max="1" width="5.5703125" customWidth="1"/>
    <col min="2" max="2" width="7.28515625" customWidth="1"/>
    <col min="3" max="3" width="8" customWidth="1"/>
    <col min="4" max="4" width="4" customWidth="1"/>
    <col min="5" max="5" width="5.140625" customWidth="1"/>
    <col min="6" max="6" width="7" customWidth="1"/>
    <col min="7" max="7" width="4.5703125" customWidth="1"/>
    <col min="8" max="8" width="4.85546875" customWidth="1"/>
    <col min="9" max="10" width="5.7109375" customWidth="1"/>
    <col min="11" max="11" width="5.140625" customWidth="1"/>
    <col min="12" max="12" width="6.85546875" customWidth="1"/>
    <col min="13" max="13" width="7.7109375" customWidth="1"/>
    <col min="14" max="14" width="6" customWidth="1"/>
    <col min="15" max="15" width="6.5703125" customWidth="1"/>
    <col min="16" max="16" width="14.140625" customWidth="1"/>
    <col min="17" max="17" width="6.5703125" customWidth="1"/>
    <col min="18" max="18" width="10.28515625" customWidth="1"/>
    <col min="19" max="19" width="10.85546875" customWidth="1"/>
    <col min="23" max="23" width="11.5703125" bestFit="1" customWidth="1"/>
  </cols>
  <sheetData>
    <row r="1" spans="1:19" s="197" customFormat="1" ht="24.75" customHeight="1" x14ac:dyDescent="0.25">
      <c r="A1" s="1042" t="s">
        <v>916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2"/>
      <c r="L1" s="1042"/>
      <c r="M1" s="1042"/>
      <c r="N1" s="1042"/>
      <c r="O1" s="1042"/>
      <c r="P1" s="1042"/>
      <c r="Q1" s="1042"/>
      <c r="R1" s="1042"/>
      <c r="S1" s="1042"/>
    </row>
    <row r="2" spans="1:19" s="197" customFormat="1" ht="10.5" customHeight="1" x14ac:dyDescent="0.25">
      <c r="A2" s="181"/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</row>
    <row r="3" spans="1:19" s="198" customFormat="1" ht="14.25" customHeight="1" x14ac:dyDescent="0.25">
      <c r="A3" s="1065" t="s">
        <v>796</v>
      </c>
      <c r="B3" s="1065"/>
      <c r="C3" s="1065"/>
      <c r="D3" s="1065"/>
      <c r="E3" s="1065"/>
      <c r="F3" s="1065"/>
      <c r="G3" s="1065"/>
      <c r="H3" s="1065"/>
      <c r="I3" s="1065"/>
      <c r="J3" s="1065"/>
      <c r="K3" s="1065"/>
      <c r="L3" s="1065"/>
      <c r="M3" s="1065"/>
      <c r="N3" s="1065"/>
      <c r="O3" s="186"/>
    </row>
    <row r="4" spans="1:19" s="198" customFormat="1" ht="30" customHeight="1" x14ac:dyDescent="0.25">
      <c r="A4" s="1066" t="s">
        <v>832</v>
      </c>
      <c r="B4" s="1066"/>
      <c r="C4" s="1066"/>
      <c r="D4" s="1066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</row>
    <row r="5" spans="1:19" s="197" customFormat="1" x14ac:dyDescent="0.25">
      <c r="K5" s="199"/>
    </row>
    <row r="6" spans="1:19" s="200" customFormat="1" ht="26.25" customHeight="1" x14ac:dyDescent="0.25">
      <c r="A6" s="1043" t="s">
        <v>840</v>
      </c>
      <c r="B6" s="1043"/>
      <c r="C6" s="1043"/>
      <c r="D6" s="1043"/>
      <c r="E6" s="1043"/>
      <c r="F6" s="1043"/>
      <c r="G6" s="1043"/>
      <c r="H6" s="1043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43"/>
    </row>
    <row r="7" spans="1:19" s="200" customFormat="1" ht="12.75" customHeight="1" x14ac:dyDescent="0.25">
      <c r="A7" s="183"/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</row>
    <row r="8" spans="1:19" s="197" customFormat="1" ht="23.25" customHeight="1" x14ac:dyDescent="0.25">
      <c r="A8" s="1042" t="s">
        <v>841</v>
      </c>
      <c r="B8" s="1042"/>
      <c r="C8" s="1042"/>
      <c r="D8" s="1042"/>
      <c r="E8" s="1042"/>
      <c r="F8" s="1042"/>
      <c r="G8" s="1042"/>
      <c r="H8" s="1042"/>
      <c r="I8" s="1042"/>
      <c r="J8" s="1042"/>
      <c r="K8" s="1042"/>
      <c r="L8" s="1042"/>
      <c r="M8" s="1042"/>
      <c r="N8" s="1042"/>
      <c r="O8" s="1042"/>
      <c r="P8" s="1042"/>
      <c r="Q8" s="1042"/>
      <c r="R8" s="1042"/>
      <c r="S8" s="1042"/>
    </row>
    <row r="9" spans="1:19" s="197" customFormat="1" ht="12" customHeight="1" x14ac:dyDescent="0.25">
      <c r="A9" s="181"/>
      <c r="B9" s="181"/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1"/>
      <c r="N9" s="181"/>
      <c r="O9" s="181"/>
      <c r="P9" s="181"/>
      <c r="Q9" s="181"/>
      <c r="R9" s="181"/>
      <c r="S9" s="181"/>
    </row>
    <row r="10" spans="1:19" s="197" customFormat="1" ht="23.25" customHeight="1" x14ac:dyDescent="0.25">
      <c r="A10" s="1042" t="s">
        <v>842</v>
      </c>
      <c r="B10" s="1042"/>
      <c r="C10" s="1042"/>
      <c r="D10" s="1042"/>
      <c r="E10" s="1042"/>
      <c r="F10" s="1042"/>
      <c r="G10" s="1042"/>
      <c r="H10" s="1042"/>
      <c r="I10" s="1042"/>
      <c r="J10" s="1042"/>
      <c r="K10" s="1042"/>
      <c r="L10" s="1042"/>
      <c r="M10" s="1042"/>
      <c r="N10" s="1042"/>
      <c r="O10" s="1042"/>
      <c r="P10" s="1042"/>
      <c r="Q10" s="1042"/>
      <c r="R10" s="1042"/>
      <c r="S10" s="1042"/>
    </row>
    <row r="11" spans="1:19" s="197" customFormat="1" ht="12" customHeight="1" x14ac:dyDescent="0.25">
      <c r="A11" s="181"/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</row>
    <row r="12" spans="1:19" s="191" customFormat="1" ht="15.75" x14ac:dyDescent="0.25">
      <c r="A12" s="188" t="s">
        <v>833</v>
      </c>
      <c r="K12" s="188"/>
    </row>
    <row r="13" spans="1:19" s="191" customFormat="1" ht="38.25" customHeight="1" x14ac:dyDescent="0.25">
      <c r="A13" s="1038" t="s">
        <v>843</v>
      </c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</row>
    <row r="14" spans="1:19" s="191" customFormat="1" ht="32.25" customHeight="1" x14ac:dyDescent="0.25">
      <c r="A14" s="1038" t="s">
        <v>844</v>
      </c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</row>
    <row r="15" spans="1:19" s="191" customFormat="1" ht="13.5" customHeight="1" x14ac:dyDescent="0.25">
      <c r="A15" s="1038" t="s">
        <v>846</v>
      </c>
      <c r="B15" s="1038"/>
      <c r="C15" s="1038"/>
      <c r="D15" s="1038"/>
      <c r="E15" s="1038"/>
      <c r="F15" s="1038"/>
      <c r="G15" s="1038"/>
      <c r="H15" s="1038"/>
      <c r="I15" s="1038"/>
      <c r="J15" s="1038"/>
      <c r="K15" s="1038"/>
      <c r="L15" s="1038"/>
      <c r="M15" s="1038"/>
      <c r="N15" s="1038"/>
      <c r="O15" s="1038"/>
      <c r="P15" s="1038"/>
      <c r="Q15" s="1038"/>
      <c r="R15" s="1038"/>
      <c r="S15" s="1038"/>
    </row>
    <row r="16" spans="1:19" s="191" customFormat="1" ht="18.75" customHeight="1" x14ac:dyDescent="0.25">
      <c r="A16" s="1038" t="s">
        <v>845</v>
      </c>
      <c r="B16" s="1038"/>
      <c r="C16" s="1038"/>
      <c r="D16" s="1038"/>
      <c r="E16" s="1038"/>
      <c r="F16" s="1038"/>
      <c r="G16" s="1038"/>
      <c r="H16" s="1038"/>
      <c r="I16" s="1038"/>
      <c r="J16" s="1038"/>
      <c r="K16" s="1038"/>
      <c r="L16" s="1038"/>
      <c r="M16" s="1038"/>
      <c r="N16" s="1038"/>
      <c r="O16" s="1038"/>
      <c r="P16" s="1038"/>
      <c r="Q16" s="1038"/>
      <c r="R16" s="1038"/>
      <c r="S16" s="1038"/>
    </row>
    <row r="17" spans="1:21" s="191" customFormat="1" ht="17.25" customHeight="1" x14ac:dyDescent="0.25">
      <c r="A17" s="1038" t="s">
        <v>847</v>
      </c>
      <c r="B17" s="1038"/>
      <c r="C17" s="1038"/>
      <c r="D17" s="1038"/>
      <c r="E17" s="1038"/>
      <c r="F17" s="1038"/>
      <c r="G17" s="1038"/>
      <c r="H17" s="1038"/>
      <c r="I17" s="1038"/>
      <c r="J17" s="1038"/>
      <c r="K17" s="1038"/>
      <c r="L17" s="1038"/>
      <c r="M17" s="1038"/>
      <c r="N17" s="1038"/>
      <c r="O17" s="1038"/>
      <c r="P17" s="1038"/>
      <c r="Q17" s="1038"/>
      <c r="R17" s="1038"/>
      <c r="S17" s="1038"/>
    </row>
    <row r="18" spans="1:21" s="191" customFormat="1" ht="17.25" customHeight="1" x14ac:dyDescent="0.25">
      <c r="A18" s="1038" t="s">
        <v>848</v>
      </c>
      <c r="B18" s="1038"/>
      <c r="C18" s="1038"/>
      <c r="D18" s="1038"/>
      <c r="E18" s="1038"/>
      <c r="F18" s="1038"/>
      <c r="G18" s="1038"/>
      <c r="H18" s="1038"/>
      <c r="I18" s="1038"/>
      <c r="J18" s="1038"/>
      <c r="K18" s="1038"/>
      <c r="L18" s="1038"/>
      <c r="M18" s="1038"/>
      <c r="N18" s="1038"/>
      <c r="O18" s="1038"/>
      <c r="P18" s="1038"/>
      <c r="Q18" s="1038"/>
      <c r="R18" s="1038"/>
      <c r="S18" s="1038"/>
    </row>
    <row r="19" spans="1:21" s="191" customFormat="1" ht="17.25" customHeight="1" x14ac:dyDescent="0.25">
      <c r="A19" s="1038" t="s">
        <v>849</v>
      </c>
      <c r="B19" s="1038"/>
      <c r="C19" s="1038"/>
      <c r="D19" s="1038"/>
      <c r="E19" s="1038"/>
      <c r="F19" s="1038"/>
      <c r="G19" s="1038"/>
      <c r="H19" s="1038"/>
      <c r="I19" s="1038"/>
      <c r="J19" s="1038"/>
      <c r="K19" s="1038"/>
      <c r="L19" s="1038"/>
      <c r="M19" s="1038"/>
      <c r="N19" s="1038"/>
      <c r="O19" s="1038"/>
      <c r="P19" s="1038"/>
      <c r="Q19" s="1038"/>
      <c r="R19" s="1038"/>
      <c r="S19" s="1038"/>
    </row>
    <row r="20" spans="1:21" s="197" customFormat="1" ht="11.25" customHeight="1" x14ac:dyDescent="0.25">
      <c r="K20" s="199"/>
    </row>
    <row r="21" spans="1:21" s="197" customFormat="1" ht="30" customHeight="1" x14ac:dyDescent="0.25">
      <c r="A21" s="1043" t="s">
        <v>1492</v>
      </c>
      <c r="B21" s="1043"/>
      <c r="C21" s="1043"/>
      <c r="D21" s="1043"/>
      <c r="E21" s="1043"/>
      <c r="F21" s="1043"/>
      <c r="G21" s="1043"/>
      <c r="H21" s="1043"/>
      <c r="I21" s="1043"/>
      <c r="J21" s="1043"/>
      <c r="K21" s="1043"/>
      <c r="L21" s="1043"/>
      <c r="M21" s="1043"/>
      <c r="N21" s="1043"/>
      <c r="O21" s="1043"/>
      <c r="P21" s="1043"/>
      <c r="Q21" s="1043"/>
      <c r="R21" s="1043"/>
      <c r="S21" s="266"/>
      <c r="T21" s="266"/>
      <c r="U21" s="266"/>
    </row>
    <row r="22" spans="1:21" s="197" customFormat="1" ht="39" customHeight="1" x14ac:dyDescent="0.25">
      <c r="A22" s="183"/>
      <c r="B22" s="183"/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</row>
    <row r="23" spans="1:21" s="197" customFormat="1" ht="30" customHeight="1" x14ac:dyDescent="0.25">
      <c r="A23" s="183"/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</row>
    <row r="24" spans="1:21" s="197" customFormat="1" ht="23.25" customHeight="1" x14ac:dyDescent="0.25">
      <c r="A24" s="183"/>
      <c r="B24" s="183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</row>
    <row r="25" spans="1:21" s="197" customFormat="1" ht="21" customHeight="1" x14ac:dyDescent="0.25">
      <c r="A25" s="1043" t="s">
        <v>915</v>
      </c>
      <c r="B25" s="1043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202"/>
      <c r="Q25" s="183"/>
    </row>
    <row r="26" spans="1:21" ht="93.75" x14ac:dyDescent="0.25">
      <c r="A26" s="112" t="s">
        <v>76</v>
      </c>
      <c r="B26" s="112" t="s">
        <v>77</v>
      </c>
      <c r="C26" s="112" t="s">
        <v>78</v>
      </c>
      <c r="D26" s="113" t="s">
        <v>79</v>
      </c>
      <c r="E26" s="112" t="s">
        <v>301</v>
      </c>
      <c r="F26" s="112" t="s">
        <v>299</v>
      </c>
      <c r="G26" s="112" t="s">
        <v>82</v>
      </c>
      <c r="H26" s="112" t="s">
        <v>83</v>
      </c>
      <c r="I26" s="112" t="s">
        <v>84</v>
      </c>
      <c r="J26" s="112" t="s">
        <v>85</v>
      </c>
      <c r="K26" s="112" t="s">
        <v>86</v>
      </c>
      <c r="L26" s="112" t="s">
        <v>87</v>
      </c>
      <c r="M26" s="112" t="s">
        <v>88</v>
      </c>
      <c r="N26" s="112" t="s">
        <v>89</v>
      </c>
      <c r="O26" s="112" t="s">
        <v>90</v>
      </c>
      <c r="P26" s="113" t="s">
        <v>20</v>
      </c>
      <c r="Q26" s="113" t="s">
        <v>91</v>
      </c>
      <c r="R26" s="113" t="s">
        <v>93</v>
      </c>
      <c r="S26" s="113" t="s">
        <v>94</v>
      </c>
    </row>
    <row r="27" spans="1:21" x14ac:dyDescent="0.25">
      <c r="A27" s="114" t="s">
        <v>95</v>
      </c>
      <c r="B27" s="114" t="s">
        <v>96</v>
      </c>
      <c r="C27" s="114" t="s">
        <v>24</v>
      </c>
      <c r="D27" s="114" t="s">
        <v>25</v>
      </c>
      <c r="E27" s="114" t="s">
        <v>26</v>
      </c>
      <c r="F27" s="114">
        <v>6</v>
      </c>
      <c r="G27" s="114">
        <v>7</v>
      </c>
      <c r="H27" s="114">
        <v>8</v>
      </c>
      <c r="I27" s="114">
        <v>9</v>
      </c>
      <c r="J27" s="114">
        <v>10</v>
      </c>
      <c r="K27" s="114">
        <v>11</v>
      </c>
      <c r="L27" s="114">
        <v>12</v>
      </c>
      <c r="M27" s="114">
        <v>13</v>
      </c>
      <c r="N27" s="114">
        <v>14</v>
      </c>
      <c r="O27" s="114">
        <v>15</v>
      </c>
      <c r="P27" s="114">
        <v>16</v>
      </c>
      <c r="Q27" s="114">
        <v>17</v>
      </c>
      <c r="R27" s="114">
        <v>18</v>
      </c>
      <c r="S27" s="114">
        <v>20</v>
      </c>
    </row>
    <row r="28" spans="1:21" x14ac:dyDescent="0.25">
      <c r="A28" s="1254" t="s">
        <v>148</v>
      </c>
      <c r="B28" s="1255"/>
      <c r="C28" s="1255"/>
      <c r="D28" s="1256"/>
      <c r="E28" s="1256"/>
      <c r="F28" s="1256"/>
      <c r="G28" s="1256"/>
      <c r="H28" s="1256"/>
      <c r="I28" s="1256"/>
      <c r="J28" s="1256"/>
      <c r="K28" s="1256"/>
      <c r="L28" s="1256"/>
      <c r="M28" s="1256"/>
      <c r="N28" s="1256"/>
      <c r="O28" s="1256"/>
      <c r="P28" s="1256"/>
      <c r="Q28" s="1256"/>
      <c r="R28" s="1256"/>
      <c r="S28" s="1257"/>
    </row>
    <row r="29" spans="1:21" x14ac:dyDescent="0.25">
      <c r="A29" s="1251" t="s">
        <v>295</v>
      </c>
      <c r="B29" s="1252"/>
      <c r="C29" s="1252"/>
      <c r="D29" s="1252"/>
      <c r="E29" s="1252"/>
      <c r="F29" s="1252"/>
      <c r="G29" s="1252"/>
      <c r="H29" s="1252"/>
      <c r="I29" s="1252"/>
      <c r="J29" s="1252"/>
      <c r="K29" s="1252"/>
      <c r="L29" s="1252"/>
      <c r="M29" s="1252"/>
      <c r="N29" s="1252"/>
      <c r="O29" s="1252"/>
      <c r="P29" s="1252"/>
      <c r="Q29" s="1252"/>
      <c r="R29" s="1252"/>
      <c r="S29" s="1253"/>
    </row>
    <row r="30" spans="1:21" s="182" customFormat="1" ht="39.75" customHeight="1" x14ac:dyDescent="0.25">
      <c r="A30" s="115" t="s">
        <v>1251</v>
      </c>
      <c r="B30" s="472" t="s">
        <v>1247</v>
      </c>
      <c r="C30" s="116" t="s">
        <v>1248</v>
      </c>
      <c r="D30" s="91">
        <v>1</v>
      </c>
      <c r="E30" s="91">
        <v>65</v>
      </c>
      <c r="F30" s="91" t="s">
        <v>300</v>
      </c>
      <c r="G30" s="91">
        <v>1</v>
      </c>
      <c r="H30" s="91">
        <v>1</v>
      </c>
      <c r="I30" s="91">
        <v>0.2</v>
      </c>
      <c r="J30" s="91">
        <v>0.2</v>
      </c>
      <c r="K30" s="91">
        <v>1</v>
      </c>
      <c r="L30" s="91">
        <v>0.22</v>
      </c>
      <c r="M30" s="91">
        <v>2.7E-4</v>
      </c>
      <c r="N30" s="91">
        <v>0.32400000000000001</v>
      </c>
      <c r="O30" s="91">
        <v>0.3</v>
      </c>
      <c r="P30" s="91" t="s">
        <v>345</v>
      </c>
      <c r="Q30" s="91">
        <v>2735</v>
      </c>
      <c r="R30" s="91">
        <f>ROUND(((N30*K30*O30/3600)),5)</f>
        <v>3.0000000000000001E-5</v>
      </c>
      <c r="S30" s="91">
        <f>ROUND((((I30*G30+J30*H30)*K30/1000000+(L30*M30*(D30)))),5)</f>
        <v>6.0000000000000002E-5</v>
      </c>
      <c r="T30" s="911">
        <f>R30</f>
        <v>3.0000000000000001E-5</v>
      </c>
      <c r="U30" s="911">
        <f>S30</f>
        <v>6.0000000000000002E-5</v>
      </c>
    </row>
  </sheetData>
  <mergeCells count="17">
    <mergeCell ref="A17:S17"/>
    <mergeCell ref="A10:S10"/>
    <mergeCell ref="A13:S13"/>
    <mergeCell ref="A14:S14"/>
    <mergeCell ref="A15:S15"/>
    <mergeCell ref="A16:S16"/>
    <mergeCell ref="A1:S1"/>
    <mergeCell ref="A3:N3"/>
    <mergeCell ref="A4:S4"/>
    <mergeCell ref="A6:S6"/>
    <mergeCell ref="A8:S8"/>
    <mergeCell ref="A18:S18"/>
    <mergeCell ref="A19:S19"/>
    <mergeCell ref="A29:S29"/>
    <mergeCell ref="A28:S28"/>
    <mergeCell ref="A25:O25"/>
    <mergeCell ref="A21:R21"/>
  </mergeCells>
  <pageMargins left="0.31496062992125984" right="0.19685039370078741" top="0.78740157480314965" bottom="0.39370078740157483" header="0.31496062992125984" footer="0.19685039370078741"/>
  <pageSetup paperSize="9" firstPageNumber="37" orientation="landscape" useFirstPageNumber="1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50"/>
  <sheetViews>
    <sheetView view="pageBreakPreview" topLeftCell="A28" zoomScaleNormal="100" zoomScaleSheetLayoutView="100" workbookViewId="0">
      <selection activeCell="AC46" sqref="AC46"/>
    </sheetView>
  </sheetViews>
  <sheetFormatPr defaultRowHeight="15" x14ac:dyDescent="0.25"/>
  <cols>
    <col min="1" max="1" width="6" customWidth="1"/>
    <col min="2" max="2" width="11.7109375" customWidth="1"/>
    <col min="3" max="3" width="8.7109375" customWidth="1"/>
    <col min="4" max="4" width="4.7109375" customWidth="1"/>
    <col min="5" max="5" width="4.28515625" customWidth="1"/>
    <col min="6" max="7" width="4" customWidth="1"/>
    <col min="8" max="8" width="3.85546875" customWidth="1"/>
    <col min="9" max="9" width="4.28515625" customWidth="1"/>
    <col min="10" max="10" width="4.140625" customWidth="1"/>
    <col min="11" max="11" width="3.7109375" customWidth="1"/>
    <col min="12" max="12" width="3.5703125" customWidth="1"/>
    <col min="13" max="13" width="3.7109375" customWidth="1"/>
    <col min="14" max="14" width="3.28515625" customWidth="1"/>
    <col min="15" max="15" width="5.85546875" customWidth="1"/>
    <col min="16" max="16" width="6.42578125" customWidth="1"/>
    <col min="17" max="17" width="5.140625" customWidth="1"/>
    <col min="18" max="18" width="4.7109375" customWidth="1"/>
    <col min="19" max="19" width="4.5703125" customWidth="1"/>
    <col min="20" max="21" width="3.7109375" customWidth="1"/>
    <col min="22" max="22" width="11.5703125" customWidth="1"/>
    <col min="23" max="23" width="4.7109375" customWidth="1"/>
    <col min="24" max="24" width="5.140625" customWidth="1"/>
    <col min="25" max="25" width="6.85546875" customWidth="1"/>
    <col min="26" max="26" width="7.7109375" customWidth="1"/>
    <col min="27" max="27" width="6.7109375" style="253" customWidth="1"/>
  </cols>
  <sheetData>
    <row r="1" spans="1:27" s="350" customFormat="1" ht="43.5" customHeight="1" x14ac:dyDescent="0.3">
      <c r="A1" s="1276" t="s">
        <v>1099</v>
      </c>
      <c r="B1" s="1276"/>
      <c r="C1" s="1276"/>
      <c r="D1" s="1276"/>
      <c r="E1" s="1276"/>
      <c r="F1" s="1276"/>
      <c r="G1" s="1276"/>
      <c r="H1" s="1276"/>
      <c r="I1" s="1276"/>
      <c r="J1" s="1276"/>
      <c r="K1" s="1276"/>
      <c r="L1" s="1276"/>
      <c r="M1" s="1276"/>
      <c r="N1" s="1276"/>
      <c r="O1" s="1276"/>
      <c r="P1" s="1276"/>
      <c r="Q1" s="1276"/>
      <c r="R1" s="1276"/>
      <c r="S1" s="1276"/>
      <c r="T1" s="1276"/>
      <c r="U1" s="1276"/>
      <c r="V1" s="1276"/>
      <c r="W1" s="1276"/>
      <c r="X1" s="1276"/>
      <c r="Y1" s="1276"/>
      <c r="Z1" s="1276"/>
    </row>
    <row r="2" spans="1:27" s="331" customFormat="1" ht="15" customHeight="1" x14ac:dyDescent="0.25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</row>
    <row r="3" spans="1:27" s="194" customFormat="1" ht="15.75" x14ac:dyDescent="0.25">
      <c r="A3" s="1037" t="s">
        <v>796</v>
      </c>
      <c r="B3" s="1037"/>
      <c r="C3" s="1037"/>
      <c r="D3" s="1037"/>
      <c r="E3" s="1037"/>
      <c r="F3" s="1037"/>
      <c r="G3" s="1037"/>
      <c r="H3" s="1037"/>
      <c r="I3" s="1037"/>
      <c r="J3" s="1037"/>
      <c r="K3" s="1037"/>
      <c r="L3" s="1037"/>
      <c r="M3" s="1037"/>
      <c r="N3" s="1037"/>
      <c r="O3" s="1037"/>
      <c r="AA3" s="186"/>
    </row>
    <row r="4" spans="1:27" s="194" customFormat="1" ht="21" customHeight="1" x14ac:dyDescent="0.25">
      <c r="A4" s="1038" t="s">
        <v>926</v>
      </c>
      <c r="B4" s="1038"/>
      <c r="C4" s="1038"/>
      <c r="D4" s="1038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332"/>
      <c r="AA4" s="340"/>
    </row>
    <row r="5" spans="1:27" s="194" customFormat="1" ht="12.75" customHeight="1" x14ac:dyDescent="0.25">
      <c r="A5" s="188"/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332"/>
      <c r="AA5" s="340"/>
    </row>
    <row r="6" spans="1:27" s="350" customFormat="1" ht="21" customHeight="1" x14ac:dyDescent="0.3">
      <c r="A6" s="1275" t="s">
        <v>927</v>
      </c>
      <c r="B6" s="1275"/>
      <c r="C6" s="1275"/>
      <c r="D6" s="1275"/>
      <c r="E6" s="1275"/>
      <c r="F6" s="1275"/>
      <c r="G6" s="1275"/>
      <c r="H6" s="1275"/>
      <c r="I6" s="1275"/>
      <c r="J6" s="1275"/>
      <c r="K6" s="1275"/>
      <c r="L6" s="1275"/>
      <c r="M6" s="1275"/>
      <c r="N6" s="1275"/>
      <c r="O6" s="1275"/>
      <c r="P6" s="1275"/>
      <c r="Q6" s="1275"/>
      <c r="R6" s="1275"/>
      <c r="S6" s="1275"/>
      <c r="T6" s="1275"/>
      <c r="U6" s="1275"/>
      <c r="V6" s="1275"/>
      <c r="W6" s="349"/>
      <c r="X6" s="349"/>
      <c r="Y6" s="349"/>
    </row>
    <row r="7" spans="1:27" s="331" customFormat="1" ht="22.5" customHeight="1" x14ac:dyDescent="0.3">
      <c r="A7" s="271"/>
      <c r="B7" s="1276" t="s">
        <v>960</v>
      </c>
      <c r="C7" s="1276"/>
      <c r="D7" s="1276"/>
      <c r="E7" s="1276"/>
      <c r="F7" s="1276"/>
      <c r="G7" s="1276"/>
      <c r="H7" s="1276"/>
      <c r="I7" s="1276"/>
      <c r="J7" s="1276"/>
      <c r="K7" s="1276"/>
      <c r="L7" s="1276"/>
      <c r="M7" s="1276"/>
      <c r="N7" s="1276"/>
      <c r="O7" s="1276"/>
      <c r="P7" s="1276"/>
      <c r="Q7" s="1276"/>
      <c r="R7" s="1276"/>
      <c r="S7" s="1276"/>
      <c r="T7" s="1276"/>
      <c r="U7" s="1276"/>
      <c r="V7" s="1276"/>
      <c r="W7" s="1276"/>
      <c r="X7" s="1276"/>
      <c r="Y7" s="333"/>
    </row>
    <row r="8" spans="1:27" s="331" customFormat="1" ht="10.5" customHeight="1" x14ac:dyDescent="0.25">
      <c r="A8" s="271"/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271"/>
      <c r="W8" s="333"/>
      <c r="X8" s="333"/>
      <c r="Y8" s="333"/>
    </row>
    <row r="9" spans="1:27" s="335" customFormat="1" ht="22.5" customHeight="1" x14ac:dyDescent="0.3">
      <c r="A9" s="1275" t="s">
        <v>929</v>
      </c>
      <c r="B9" s="1275"/>
      <c r="C9" s="1275"/>
      <c r="D9" s="1275"/>
      <c r="E9" s="1275"/>
      <c r="F9" s="1275"/>
      <c r="G9" s="1275"/>
      <c r="H9" s="1275"/>
      <c r="I9" s="1275"/>
      <c r="J9" s="1275"/>
      <c r="K9" s="1275"/>
      <c r="L9" s="1275"/>
      <c r="M9" s="1275"/>
      <c r="N9" s="1275"/>
      <c r="O9" s="1275"/>
      <c r="P9" s="1275"/>
      <c r="Q9" s="1275"/>
      <c r="R9" s="1275"/>
      <c r="S9" s="1275"/>
      <c r="T9" s="1275"/>
      <c r="U9" s="1275"/>
      <c r="V9" s="1275"/>
      <c r="W9" s="1275"/>
      <c r="X9" s="1275"/>
      <c r="Y9" s="1275"/>
      <c r="Z9" s="334"/>
      <c r="AA9" s="334"/>
    </row>
    <row r="10" spans="1:27" s="182" customFormat="1" ht="22.5" customHeight="1" x14ac:dyDescent="0.3">
      <c r="A10" s="973" t="s">
        <v>930</v>
      </c>
      <c r="B10" s="973"/>
      <c r="C10" s="973"/>
      <c r="D10" s="973"/>
      <c r="E10" s="973"/>
      <c r="F10" s="973"/>
      <c r="G10" s="973"/>
      <c r="H10" s="973"/>
      <c r="I10" s="973"/>
      <c r="J10" s="973"/>
      <c r="K10" s="973"/>
      <c r="L10" s="973"/>
      <c r="M10" s="973"/>
      <c r="N10" s="973"/>
      <c r="O10" s="973"/>
      <c r="P10" s="973"/>
      <c r="Q10" s="973"/>
      <c r="R10" s="973"/>
      <c r="S10" s="973"/>
      <c r="T10" s="973"/>
      <c r="U10" s="973"/>
      <c r="V10" s="973"/>
      <c r="W10" s="973"/>
      <c r="X10" s="973"/>
      <c r="Y10" s="973"/>
      <c r="Z10" s="205"/>
      <c r="AA10" s="341"/>
    </row>
    <row r="11" spans="1:27" s="182" customFormat="1" ht="8.25" customHeight="1" x14ac:dyDescent="0.3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  <c r="AA11" s="341"/>
    </row>
    <row r="12" spans="1:27" s="335" customFormat="1" ht="22.5" customHeight="1" x14ac:dyDescent="0.3">
      <c r="A12" s="1275" t="s">
        <v>931</v>
      </c>
      <c r="B12" s="1275"/>
      <c r="C12" s="1275"/>
      <c r="D12" s="1275"/>
      <c r="E12" s="1275"/>
      <c r="F12" s="1275"/>
      <c r="G12" s="1275"/>
      <c r="H12" s="1275"/>
      <c r="I12" s="1275"/>
      <c r="J12" s="1275"/>
      <c r="K12" s="1275"/>
      <c r="L12" s="1275"/>
      <c r="M12" s="1275"/>
      <c r="N12" s="1275"/>
      <c r="O12" s="1275"/>
      <c r="P12" s="1275"/>
      <c r="Q12" s="1275"/>
      <c r="R12" s="1275"/>
      <c r="S12" s="1275"/>
      <c r="T12" s="1275"/>
      <c r="U12" s="1275"/>
      <c r="V12" s="1275"/>
      <c r="W12" s="1275"/>
      <c r="X12" s="1275"/>
      <c r="Y12" s="1275"/>
      <c r="Z12" s="334"/>
      <c r="AA12" s="334"/>
    </row>
    <row r="13" spans="1:27" s="182" customFormat="1" ht="22.5" customHeight="1" x14ac:dyDescent="0.3">
      <c r="A13" s="973" t="s">
        <v>932</v>
      </c>
      <c r="B13" s="973"/>
      <c r="C13" s="973"/>
      <c r="D13" s="973"/>
      <c r="E13" s="973"/>
      <c r="F13" s="973"/>
      <c r="G13" s="973"/>
      <c r="H13" s="973"/>
      <c r="I13" s="973"/>
      <c r="J13" s="973"/>
      <c r="K13" s="973"/>
      <c r="L13" s="973"/>
      <c r="M13" s="973"/>
      <c r="N13" s="973"/>
      <c r="O13" s="973"/>
      <c r="P13" s="973"/>
      <c r="Q13" s="973"/>
      <c r="R13" s="973"/>
      <c r="S13" s="973"/>
      <c r="T13" s="973"/>
      <c r="U13" s="973"/>
      <c r="V13" s="973"/>
      <c r="W13" s="973"/>
      <c r="X13" s="973"/>
      <c r="Y13" s="973"/>
      <c r="Z13" s="205"/>
      <c r="AA13" s="341"/>
    </row>
    <row r="14" spans="1:27" s="182" customFormat="1" ht="11.25" customHeight="1" x14ac:dyDescent="0.3">
      <c r="A14" s="205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  <c r="AA14" s="341"/>
    </row>
    <row r="15" spans="1:27" s="194" customFormat="1" ht="15.75" x14ac:dyDescent="0.25">
      <c r="A15" s="1038" t="s">
        <v>801</v>
      </c>
      <c r="B15" s="1038"/>
      <c r="C15" s="1038"/>
      <c r="D15" s="1038"/>
      <c r="E15" s="1038"/>
      <c r="F15" s="1038"/>
      <c r="G15" s="1038"/>
      <c r="H15" s="1038"/>
      <c r="I15" s="1038"/>
      <c r="J15" s="1038"/>
      <c r="K15" s="1038"/>
      <c r="L15" s="1038"/>
      <c r="M15" s="1038"/>
      <c r="N15" s="1038"/>
      <c r="O15" s="1038"/>
      <c r="AA15" s="186"/>
    </row>
    <row r="16" spans="1:27" s="331" customFormat="1" ht="15.75" customHeight="1" x14ac:dyDescent="0.25">
      <c r="A16" s="1066" t="s">
        <v>933</v>
      </c>
      <c r="B16" s="1066"/>
      <c r="C16" s="1066"/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  <c r="O16" s="1066"/>
      <c r="P16" s="1066"/>
      <c r="Q16" s="1066"/>
      <c r="R16" s="1066"/>
      <c r="S16" s="1066"/>
      <c r="T16" s="1066"/>
      <c r="U16" s="1066"/>
      <c r="V16" s="1066"/>
      <c r="W16" s="333"/>
      <c r="X16" s="333"/>
      <c r="Y16" s="333"/>
    </row>
    <row r="17" spans="1:27" s="331" customFormat="1" ht="13.5" customHeight="1" x14ac:dyDescent="0.25">
      <c r="A17" s="1066" t="s">
        <v>934</v>
      </c>
      <c r="B17" s="1066"/>
      <c r="C17" s="1066"/>
      <c r="D17" s="1066"/>
      <c r="E17" s="1066"/>
      <c r="F17" s="1066"/>
      <c r="G17" s="1066"/>
      <c r="H17" s="1066"/>
      <c r="I17" s="1066"/>
      <c r="J17" s="1066"/>
      <c r="K17" s="1066"/>
      <c r="L17" s="1066"/>
      <c r="M17" s="1066"/>
      <c r="N17" s="1066"/>
      <c r="O17" s="1066"/>
      <c r="P17" s="1066"/>
      <c r="Q17" s="1066"/>
      <c r="R17" s="1066"/>
      <c r="S17" s="1066"/>
      <c r="T17" s="1066"/>
      <c r="U17" s="1066"/>
      <c r="V17" s="1066"/>
      <c r="W17" s="333"/>
      <c r="X17" s="333"/>
      <c r="Y17" s="333"/>
    </row>
    <row r="18" spans="1:27" s="331" customFormat="1" ht="30" customHeight="1" x14ac:dyDescent="0.25">
      <c r="A18" s="1066" t="s">
        <v>953</v>
      </c>
      <c r="B18" s="1066"/>
      <c r="C18" s="1066"/>
      <c r="D18" s="1066"/>
      <c r="E18" s="1066"/>
      <c r="F18" s="1066"/>
      <c r="G18" s="1066"/>
      <c r="H18" s="1066"/>
      <c r="I18" s="1066"/>
      <c r="J18" s="1066"/>
      <c r="K18" s="1066"/>
      <c r="L18" s="1066"/>
      <c r="M18" s="1066"/>
      <c r="N18" s="1066"/>
      <c r="O18" s="1066"/>
      <c r="P18" s="1066"/>
      <c r="Q18" s="1066"/>
      <c r="R18" s="1066"/>
      <c r="S18" s="1066"/>
      <c r="T18" s="1066"/>
      <c r="U18" s="1066"/>
      <c r="V18" s="1066"/>
      <c r="W18" s="1066"/>
      <c r="X18" s="1066"/>
      <c r="Y18" s="1066"/>
      <c r="Z18" s="203"/>
      <c r="AA18" s="203"/>
    </row>
    <row r="19" spans="1:27" s="331" customFormat="1" ht="16.5" customHeight="1" x14ac:dyDescent="0.25">
      <c r="A19" s="1066" t="s">
        <v>954</v>
      </c>
      <c r="B19" s="1066"/>
      <c r="C19" s="1066"/>
      <c r="D19" s="1066"/>
      <c r="E19" s="1066"/>
      <c r="F19" s="1066"/>
      <c r="G19" s="1066"/>
      <c r="H19" s="1066"/>
      <c r="I19" s="1066"/>
      <c r="J19" s="1066"/>
      <c r="K19" s="1066"/>
      <c r="L19" s="1066"/>
      <c r="M19" s="1066"/>
      <c r="N19" s="1066"/>
      <c r="O19" s="1066"/>
      <c r="P19" s="1066"/>
      <c r="Q19" s="1066"/>
      <c r="R19" s="1066"/>
      <c r="S19" s="1066"/>
      <c r="T19" s="1066"/>
      <c r="U19" s="1066"/>
      <c r="V19" s="1066"/>
      <c r="W19" s="1066"/>
      <c r="X19" s="1066"/>
      <c r="Y19" s="1066"/>
      <c r="Z19" s="203"/>
      <c r="AA19" s="203"/>
    </row>
    <row r="20" spans="1:27" s="331" customFormat="1" ht="30" customHeight="1" x14ac:dyDescent="0.25">
      <c r="A20" s="1066" t="s">
        <v>955</v>
      </c>
      <c r="B20" s="1066"/>
      <c r="C20" s="1066"/>
      <c r="D20" s="1066"/>
      <c r="E20" s="1066"/>
      <c r="F20" s="1066"/>
      <c r="G20" s="1066"/>
      <c r="H20" s="1066"/>
      <c r="I20" s="1066"/>
      <c r="J20" s="1066"/>
      <c r="K20" s="1066"/>
      <c r="L20" s="1066"/>
      <c r="M20" s="1066"/>
      <c r="N20" s="1066"/>
      <c r="O20" s="1066"/>
      <c r="P20" s="1066"/>
      <c r="Q20" s="1066"/>
      <c r="R20" s="1066"/>
      <c r="S20" s="1066"/>
      <c r="T20" s="1066"/>
      <c r="U20" s="1066"/>
      <c r="V20" s="1066"/>
      <c r="W20" s="1066"/>
      <c r="X20" s="1066"/>
      <c r="Y20" s="1066"/>
      <c r="Z20" s="203"/>
      <c r="AA20" s="203"/>
    </row>
    <row r="21" spans="1:27" s="331" customFormat="1" ht="30" customHeight="1" x14ac:dyDescent="0.25">
      <c r="A21" s="1066" t="s">
        <v>956</v>
      </c>
      <c r="B21" s="1066"/>
      <c r="C21" s="1066"/>
      <c r="D21" s="1066"/>
      <c r="E21" s="1066"/>
      <c r="F21" s="1066"/>
      <c r="G21" s="1066"/>
      <c r="H21" s="1066"/>
      <c r="I21" s="1066"/>
      <c r="J21" s="1066"/>
      <c r="K21" s="1066"/>
      <c r="L21" s="1066"/>
      <c r="M21" s="1066"/>
      <c r="N21" s="1066"/>
      <c r="O21" s="1066"/>
      <c r="P21" s="1066"/>
      <c r="Q21" s="1066"/>
      <c r="R21" s="1066"/>
      <c r="S21" s="1066"/>
      <c r="T21" s="1066"/>
      <c r="U21" s="1066"/>
      <c r="V21" s="1066"/>
      <c r="W21" s="1066"/>
      <c r="X21" s="1066"/>
      <c r="Y21" s="1066"/>
      <c r="Z21" s="203"/>
      <c r="AA21" s="203"/>
    </row>
    <row r="22" spans="1:27" s="331" customFormat="1" ht="30.75" customHeight="1" x14ac:dyDescent="0.25">
      <c r="A22" s="1066" t="s">
        <v>957</v>
      </c>
      <c r="B22" s="1066"/>
      <c r="C22" s="1066"/>
      <c r="D22" s="1066"/>
      <c r="E22" s="1066"/>
      <c r="F22" s="1066"/>
      <c r="G22" s="1066"/>
      <c r="H22" s="1066"/>
      <c r="I22" s="1066"/>
      <c r="J22" s="1066"/>
      <c r="K22" s="1066"/>
      <c r="L22" s="1066"/>
      <c r="M22" s="1066"/>
      <c r="N22" s="1066"/>
      <c r="O22" s="1066"/>
      <c r="P22" s="1066"/>
      <c r="Q22" s="1066"/>
      <c r="R22" s="1066"/>
      <c r="S22" s="1066"/>
      <c r="T22" s="1066"/>
      <c r="U22" s="1066"/>
      <c r="V22" s="1066"/>
      <c r="W22" s="1066"/>
      <c r="X22" s="1066"/>
      <c r="Y22" s="1066"/>
      <c r="Z22" s="203"/>
      <c r="AA22" s="203"/>
    </row>
    <row r="23" spans="1:27" s="331" customFormat="1" ht="32.25" customHeight="1" x14ac:dyDescent="0.25">
      <c r="A23" s="1066" t="s">
        <v>958</v>
      </c>
      <c r="B23" s="1066"/>
      <c r="C23" s="1066"/>
      <c r="D23" s="1066"/>
      <c r="E23" s="1066"/>
      <c r="F23" s="1066"/>
      <c r="G23" s="1066"/>
      <c r="H23" s="1066"/>
      <c r="I23" s="1066"/>
      <c r="J23" s="1066"/>
      <c r="K23" s="1066"/>
      <c r="L23" s="1066"/>
      <c r="M23" s="1066"/>
      <c r="N23" s="1066"/>
      <c r="O23" s="1066"/>
      <c r="P23" s="1066"/>
      <c r="Q23" s="1066"/>
      <c r="R23" s="1066"/>
      <c r="S23" s="1066"/>
      <c r="T23" s="1066"/>
      <c r="U23" s="1066"/>
      <c r="V23" s="1066"/>
      <c r="W23" s="1066"/>
      <c r="X23" s="1066"/>
      <c r="Y23" s="1066"/>
      <c r="Z23" s="203"/>
      <c r="AA23" s="203"/>
    </row>
    <row r="24" spans="1:27" s="331" customFormat="1" ht="30.75" customHeight="1" x14ac:dyDescent="0.25">
      <c r="A24" s="1066" t="s">
        <v>959</v>
      </c>
      <c r="B24" s="1066"/>
      <c r="C24" s="1066"/>
      <c r="D24" s="1066"/>
      <c r="E24" s="1066"/>
      <c r="F24" s="1066"/>
      <c r="G24" s="1066"/>
      <c r="H24" s="1066"/>
      <c r="I24" s="1066"/>
      <c r="J24" s="1066"/>
      <c r="K24" s="1066"/>
      <c r="L24" s="1066"/>
      <c r="M24" s="1066"/>
      <c r="N24" s="1066"/>
      <c r="O24" s="1066"/>
      <c r="P24" s="1066"/>
      <c r="Q24" s="1066"/>
      <c r="R24" s="1066"/>
      <c r="S24" s="1066"/>
      <c r="T24" s="1066"/>
      <c r="U24" s="1066"/>
      <c r="V24" s="1066"/>
      <c r="W24" s="1066"/>
      <c r="X24" s="1066"/>
      <c r="Y24" s="1066"/>
      <c r="Z24" s="203"/>
      <c r="AA24" s="203"/>
    </row>
    <row r="25" spans="1:27" s="331" customFormat="1" ht="32.25" customHeight="1" x14ac:dyDescent="0.25">
      <c r="A25" s="1066" t="s">
        <v>942</v>
      </c>
      <c r="B25" s="1066"/>
      <c r="C25" s="1066"/>
      <c r="D25" s="1066"/>
      <c r="E25" s="1066"/>
      <c r="F25" s="1066"/>
      <c r="G25" s="1066"/>
      <c r="H25" s="1066"/>
      <c r="I25" s="1066"/>
      <c r="J25" s="1066"/>
      <c r="K25" s="1066"/>
      <c r="L25" s="1066"/>
      <c r="M25" s="1066"/>
      <c r="N25" s="1066"/>
      <c r="O25" s="1066"/>
      <c r="P25" s="1066"/>
      <c r="Q25" s="1066"/>
      <c r="R25" s="1066"/>
      <c r="S25" s="1066"/>
      <c r="T25" s="1066"/>
      <c r="U25" s="1066"/>
      <c r="V25" s="1066"/>
      <c r="W25" s="1066"/>
      <c r="X25" s="1066"/>
      <c r="Y25" s="1066"/>
      <c r="Z25" s="203"/>
      <c r="AA25" s="203"/>
    </row>
    <row r="26" spans="1:27" s="331" customFormat="1" ht="14.25" customHeight="1" x14ac:dyDescent="0.25">
      <c r="A26" s="1066" t="s">
        <v>943</v>
      </c>
      <c r="B26" s="1066"/>
      <c r="C26" s="1066"/>
      <c r="D26" s="1066"/>
      <c r="E26" s="1066"/>
      <c r="F26" s="1066"/>
      <c r="G26" s="1066"/>
      <c r="H26" s="1066"/>
      <c r="I26" s="1066"/>
      <c r="J26" s="1066"/>
      <c r="K26" s="1066"/>
      <c r="L26" s="1066"/>
      <c r="M26" s="1066"/>
      <c r="N26" s="1066"/>
      <c r="O26" s="1066"/>
      <c r="P26" s="1066"/>
      <c r="Q26" s="1066"/>
      <c r="R26" s="1066"/>
      <c r="S26" s="1066"/>
      <c r="T26" s="1066"/>
      <c r="U26" s="1066"/>
      <c r="V26" s="1066"/>
      <c r="W26" s="1066"/>
      <c r="X26" s="1066"/>
      <c r="Y26" s="1066"/>
      <c r="Z26" s="203"/>
      <c r="AA26" s="203"/>
    </row>
    <row r="27" spans="1:27" s="331" customFormat="1" ht="27" customHeight="1" x14ac:dyDescent="0.25">
      <c r="A27" s="1066" t="s">
        <v>944</v>
      </c>
      <c r="B27" s="1066"/>
      <c r="C27" s="1066"/>
      <c r="D27" s="1066"/>
      <c r="E27" s="1066"/>
      <c r="F27" s="1066"/>
      <c r="G27" s="1066"/>
      <c r="H27" s="1066"/>
      <c r="I27" s="1066"/>
      <c r="J27" s="1066"/>
      <c r="K27" s="1066"/>
      <c r="L27" s="1066"/>
      <c r="M27" s="1066"/>
      <c r="N27" s="1066"/>
      <c r="O27" s="1066"/>
      <c r="P27" s="1066"/>
      <c r="Q27" s="1066"/>
      <c r="R27" s="1066"/>
      <c r="S27" s="1066"/>
      <c r="T27" s="1066"/>
      <c r="U27" s="1066"/>
      <c r="V27" s="1066"/>
      <c r="W27" s="1066"/>
      <c r="X27" s="1066"/>
      <c r="Y27" s="1066"/>
      <c r="Z27" s="203"/>
      <c r="AA27" s="203"/>
    </row>
    <row r="28" spans="1:27" s="331" customFormat="1" ht="18" customHeight="1" x14ac:dyDescent="0.25">
      <c r="A28" s="1066" t="s">
        <v>945</v>
      </c>
      <c r="B28" s="1066"/>
      <c r="C28" s="1066"/>
      <c r="D28" s="1066"/>
      <c r="E28" s="1066"/>
      <c r="F28" s="1066"/>
      <c r="G28" s="1066"/>
      <c r="H28" s="1066"/>
      <c r="I28" s="1066"/>
      <c r="J28" s="1066"/>
      <c r="K28" s="1066"/>
      <c r="L28" s="1066"/>
      <c r="M28" s="1066"/>
      <c r="N28" s="1066"/>
      <c r="O28" s="1066"/>
      <c r="P28" s="1066"/>
      <c r="Q28" s="1066"/>
      <c r="R28" s="1066"/>
      <c r="S28" s="1066"/>
      <c r="T28" s="1066"/>
      <c r="U28" s="1066"/>
      <c r="V28" s="1066"/>
      <c r="W28" s="1066"/>
      <c r="X28" s="1066"/>
      <c r="Y28" s="1066"/>
      <c r="Z28" s="203"/>
      <c r="AA28" s="203"/>
    </row>
    <row r="29" spans="1:27" s="331" customFormat="1" ht="33" customHeight="1" x14ac:dyDescent="0.25">
      <c r="A29" s="1066" t="s">
        <v>946</v>
      </c>
      <c r="B29" s="1066"/>
      <c r="C29" s="1066"/>
      <c r="D29" s="1066"/>
      <c r="E29" s="1066"/>
      <c r="F29" s="1066"/>
      <c r="G29" s="1066"/>
      <c r="H29" s="1066"/>
      <c r="I29" s="1066"/>
      <c r="J29" s="1066"/>
      <c r="K29" s="1066"/>
      <c r="L29" s="1066"/>
      <c r="M29" s="1066"/>
      <c r="N29" s="1066"/>
      <c r="O29" s="1066"/>
      <c r="P29" s="1066"/>
      <c r="Q29" s="1066"/>
      <c r="R29" s="1066"/>
      <c r="S29" s="1066"/>
      <c r="T29" s="1066"/>
      <c r="U29" s="1066"/>
      <c r="V29" s="1066"/>
      <c r="W29" s="1066"/>
      <c r="X29" s="1066"/>
      <c r="Y29" s="1066"/>
      <c r="Z29" s="203"/>
      <c r="AA29" s="203"/>
    </row>
    <row r="30" spans="1:27" s="336" customFormat="1" ht="13.5" customHeight="1" x14ac:dyDescent="0.25">
      <c r="A30" s="1066" t="s">
        <v>947</v>
      </c>
      <c r="B30" s="1066"/>
      <c r="C30" s="1066"/>
      <c r="D30" s="1066"/>
      <c r="E30" s="1066"/>
      <c r="F30" s="1066"/>
      <c r="G30" s="1066"/>
      <c r="H30" s="1066"/>
      <c r="I30" s="1066"/>
      <c r="J30" s="1066"/>
      <c r="K30" s="1066"/>
      <c r="L30" s="1066"/>
      <c r="M30" s="1066"/>
      <c r="N30" s="1066"/>
      <c r="O30" s="1066"/>
      <c r="P30" s="1066"/>
      <c r="Q30" s="1066"/>
      <c r="R30" s="1066"/>
      <c r="S30" s="1066"/>
      <c r="T30" s="1066"/>
      <c r="U30" s="1066"/>
      <c r="V30" s="1066"/>
      <c r="W30" s="1066"/>
      <c r="X30" s="1066"/>
      <c r="Y30" s="1066"/>
      <c r="Z30" s="203"/>
      <c r="AA30" s="203"/>
    </row>
    <row r="31" spans="1:27" s="336" customFormat="1" ht="15" customHeight="1" x14ac:dyDescent="0.25">
      <c r="A31" s="1066" t="s">
        <v>948</v>
      </c>
      <c r="B31" s="1066"/>
      <c r="C31" s="1066"/>
      <c r="D31" s="1066"/>
      <c r="E31" s="1066"/>
      <c r="F31" s="1066"/>
      <c r="G31" s="1066"/>
      <c r="H31" s="1066"/>
      <c r="I31" s="1066"/>
      <c r="J31" s="1066"/>
      <c r="K31" s="1066"/>
      <c r="L31" s="1066"/>
      <c r="M31" s="1066"/>
      <c r="N31" s="1066"/>
      <c r="O31" s="1066"/>
      <c r="P31" s="1066"/>
      <c r="Q31" s="1066"/>
      <c r="R31" s="1066"/>
      <c r="S31" s="1066"/>
      <c r="T31" s="1066"/>
      <c r="U31" s="1066"/>
      <c r="V31" s="1066"/>
      <c r="W31" s="1066"/>
      <c r="X31" s="1066"/>
      <c r="Y31" s="1066"/>
      <c r="Z31" s="203"/>
      <c r="AA31" s="203"/>
    </row>
    <row r="32" spans="1:27" s="194" customFormat="1" ht="14.25" customHeight="1" x14ac:dyDescent="0.25">
      <c r="A32" s="1278" t="s">
        <v>949</v>
      </c>
      <c r="B32" s="1278"/>
      <c r="C32" s="1278"/>
      <c r="D32" s="1278"/>
      <c r="E32" s="1278"/>
      <c r="F32" s="1278"/>
      <c r="G32" s="1278"/>
      <c r="H32" s="1278"/>
      <c r="I32" s="1278"/>
      <c r="J32" s="1278"/>
      <c r="K32" s="1278"/>
      <c r="L32" s="1278"/>
      <c r="M32" s="1278"/>
      <c r="N32" s="1278"/>
      <c r="O32" s="1278"/>
      <c r="P32" s="1278"/>
      <c r="Q32" s="1278"/>
      <c r="R32" s="1278"/>
      <c r="S32" s="1278"/>
      <c r="T32" s="1278"/>
      <c r="U32" s="1278"/>
      <c r="V32" s="1278"/>
      <c r="W32" s="1278"/>
      <c r="X32" s="1278"/>
      <c r="Y32" s="1278"/>
      <c r="Z32" s="185"/>
      <c r="AA32" s="203"/>
    </row>
    <row r="33" spans="1:28" s="194" customFormat="1" ht="14.25" customHeight="1" x14ac:dyDescent="0.25">
      <c r="A33" s="1278" t="s">
        <v>950</v>
      </c>
      <c r="B33" s="1278"/>
      <c r="C33" s="1278"/>
      <c r="D33" s="1278"/>
      <c r="E33" s="1278"/>
      <c r="F33" s="1278"/>
      <c r="G33" s="1278"/>
      <c r="H33" s="1278"/>
      <c r="I33" s="1278"/>
      <c r="J33" s="1278"/>
      <c r="K33" s="1278"/>
      <c r="L33" s="1278"/>
      <c r="M33" s="1278"/>
      <c r="N33" s="1278"/>
      <c r="O33" s="1278"/>
      <c r="P33" s="1278"/>
      <c r="Q33" s="1278"/>
      <c r="R33" s="1278"/>
      <c r="S33" s="1278"/>
      <c r="T33" s="1278"/>
      <c r="U33" s="1278"/>
      <c r="V33" s="1278"/>
      <c r="W33" s="1278"/>
      <c r="X33" s="1278"/>
      <c r="Y33" s="1278"/>
      <c r="Z33" s="185"/>
      <c r="AA33" s="203"/>
    </row>
    <row r="34" spans="1:28" s="194" customFormat="1" ht="14.25" customHeight="1" x14ac:dyDescent="0.25">
      <c r="A34" s="1278" t="s">
        <v>951</v>
      </c>
      <c r="B34" s="1278"/>
      <c r="C34" s="1278"/>
      <c r="D34" s="1278"/>
      <c r="E34" s="1278"/>
      <c r="F34" s="1278"/>
      <c r="G34" s="1278"/>
      <c r="H34" s="1278"/>
      <c r="I34" s="1278"/>
      <c r="J34" s="1278"/>
      <c r="K34" s="1278"/>
      <c r="L34" s="1278"/>
      <c r="M34" s="1278"/>
      <c r="N34" s="1278"/>
      <c r="O34" s="1278"/>
      <c r="P34" s="1278"/>
      <c r="Q34" s="1278"/>
      <c r="R34" s="1278"/>
      <c r="S34" s="1278"/>
      <c r="T34" s="1278"/>
      <c r="U34" s="1278"/>
      <c r="V34" s="1278"/>
      <c r="W34" s="1278"/>
      <c r="X34" s="1278"/>
      <c r="Y34" s="1278"/>
      <c r="Z34" s="185"/>
      <c r="AA34" s="203"/>
    </row>
    <row r="35" spans="1:28" s="194" customFormat="1" ht="14.25" customHeight="1" x14ac:dyDescent="0.25">
      <c r="A35" s="185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203"/>
    </row>
    <row r="36" spans="1:28" s="193" customFormat="1" ht="18.75" customHeight="1" x14ac:dyDescent="0.25">
      <c r="A36" s="1043" t="s">
        <v>961</v>
      </c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3"/>
      <c r="M36" s="1043"/>
      <c r="N36" s="1043"/>
      <c r="O36" s="1043"/>
      <c r="P36" s="1043"/>
      <c r="Q36" s="1043"/>
      <c r="R36" s="1043"/>
      <c r="S36" s="1043"/>
      <c r="T36" s="1043"/>
      <c r="U36" s="1043"/>
      <c r="AA36" s="342"/>
    </row>
    <row r="37" spans="1:28" s="193" customFormat="1" ht="9.75" customHeight="1" x14ac:dyDescent="0.2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AA37" s="342"/>
    </row>
    <row r="38" spans="1:28" ht="22.5" customHeight="1" x14ac:dyDescent="0.3">
      <c r="A38" s="1277" t="s">
        <v>962</v>
      </c>
      <c r="B38" s="1277"/>
      <c r="C38" s="1277"/>
      <c r="D38" s="1277"/>
      <c r="E38" s="1277"/>
      <c r="F38" s="1277"/>
      <c r="G38" s="1277"/>
      <c r="H38" s="1277"/>
      <c r="I38" s="1277"/>
      <c r="J38" s="1277"/>
      <c r="K38" s="1277"/>
      <c r="L38" s="1277"/>
      <c r="M38" s="1277"/>
      <c r="N38" s="1277"/>
      <c r="O38" s="1277"/>
      <c r="P38" s="1277"/>
      <c r="Q38" s="1277"/>
      <c r="R38" s="1277"/>
      <c r="S38" s="1277"/>
      <c r="T38" s="1277"/>
      <c r="U38" s="1277"/>
      <c r="V38" s="1277"/>
      <c r="W38" s="1277"/>
      <c r="X38" s="1277"/>
      <c r="Y38" s="1277"/>
      <c r="Z38" s="337"/>
      <c r="AA38" s="343"/>
    </row>
    <row r="39" spans="1:28" ht="24.75" customHeight="1" x14ac:dyDescent="0.25">
      <c r="A39" s="1260" t="s">
        <v>372</v>
      </c>
      <c r="B39" s="1262" t="s">
        <v>373</v>
      </c>
      <c r="C39" s="1262" t="s">
        <v>952</v>
      </c>
      <c r="D39" s="50" t="s">
        <v>375</v>
      </c>
      <c r="E39" s="50" t="s">
        <v>376</v>
      </c>
      <c r="F39" s="138" t="s">
        <v>377</v>
      </c>
      <c r="G39" s="138" t="s">
        <v>377</v>
      </c>
      <c r="H39" s="138" t="s">
        <v>378</v>
      </c>
      <c r="I39" s="50" t="s">
        <v>379</v>
      </c>
      <c r="J39" s="50" t="s">
        <v>380</v>
      </c>
      <c r="K39" s="50" t="s">
        <v>381</v>
      </c>
      <c r="L39" s="50" t="s">
        <v>382</v>
      </c>
      <c r="M39" s="50" t="s">
        <v>383</v>
      </c>
      <c r="N39" s="138" t="s">
        <v>384</v>
      </c>
      <c r="O39" s="139" t="s">
        <v>385</v>
      </c>
      <c r="P39" s="139" t="s">
        <v>386</v>
      </c>
      <c r="Q39" s="138" t="s">
        <v>387</v>
      </c>
      <c r="R39" s="50" t="s">
        <v>388</v>
      </c>
      <c r="S39" s="50" t="s">
        <v>389</v>
      </c>
      <c r="T39" s="50" t="s">
        <v>390</v>
      </c>
      <c r="U39" s="50" t="s">
        <v>391</v>
      </c>
      <c r="V39" s="1263" t="s">
        <v>392</v>
      </c>
      <c r="W39" s="1265" t="s">
        <v>21</v>
      </c>
      <c r="X39" s="140" t="s">
        <v>169</v>
      </c>
      <c r="Y39" s="1258" t="s">
        <v>393</v>
      </c>
      <c r="Z39" s="1259"/>
      <c r="AA39" s="344"/>
    </row>
    <row r="40" spans="1:28" x14ac:dyDescent="0.25">
      <c r="A40" s="1261"/>
      <c r="B40" s="1262"/>
      <c r="C40" s="1262"/>
      <c r="D40" s="142"/>
      <c r="E40" s="143"/>
      <c r="F40" s="169" t="s">
        <v>18</v>
      </c>
      <c r="G40" s="169" t="s">
        <v>19</v>
      </c>
      <c r="H40" s="144"/>
      <c r="I40" s="143"/>
      <c r="J40" s="143"/>
      <c r="K40" s="143"/>
      <c r="L40" s="143"/>
      <c r="M40" s="143"/>
      <c r="N40" s="144"/>
      <c r="O40" s="145" t="s">
        <v>394</v>
      </c>
      <c r="P40" s="145" t="s">
        <v>19</v>
      </c>
      <c r="Q40" s="144"/>
      <c r="R40" s="143"/>
      <c r="S40" s="143" t="s">
        <v>395</v>
      </c>
      <c r="T40" s="146"/>
      <c r="U40" s="146"/>
      <c r="V40" s="1264"/>
      <c r="W40" s="1266"/>
      <c r="X40" s="143"/>
      <c r="Y40" s="141" t="s">
        <v>18</v>
      </c>
      <c r="Z40" s="137" t="s">
        <v>19</v>
      </c>
      <c r="AA40" s="344"/>
    </row>
    <row r="41" spans="1:28" x14ac:dyDescent="0.25">
      <c r="A41" s="147">
        <v>1</v>
      </c>
      <c r="B41" s="148">
        <v>2</v>
      </c>
      <c r="C41" s="148">
        <v>3</v>
      </c>
      <c r="D41" s="147">
        <v>4</v>
      </c>
      <c r="E41" s="147">
        <v>5</v>
      </c>
      <c r="F41" s="149">
        <v>6</v>
      </c>
      <c r="G41" s="149">
        <v>7</v>
      </c>
      <c r="H41" s="149">
        <v>8</v>
      </c>
      <c r="I41" s="147">
        <v>9</v>
      </c>
      <c r="J41" s="147">
        <v>10</v>
      </c>
      <c r="K41" s="147">
        <v>11</v>
      </c>
      <c r="L41" s="147">
        <v>12</v>
      </c>
      <c r="M41" s="147">
        <v>13</v>
      </c>
      <c r="N41" s="149">
        <v>14</v>
      </c>
      <c r="O41" s="149">
        <v>15</v>
      </c>
      <c r="P41" s="149">
        <v>16</v>
      </c>
      <c r="Q41" s="149">
        <v>17</v>
      </c>
      <c r="R41" s="147">
        <v>18</v>
      </c>
      <c r="S41" s="147">
        <v>19</v>
      </c>
      <c r="T41" s="133">
        <v>20</v>
      </c>
      <c r="U41" s="133">
        <v>21</v>
      </c>
      <c r="V41" s="133">
        <v>22</v>
      </c>
      <c r="W41" s="133">
        <v>23</v>
      </c>
      <c r="X41" s="133">
        <v>24</v>
      </c>
      <c r="Y41" s="147">
        <v>25</v>
      </c>
      <c r="Z41" s="147">
        <v>26</v>
      </c>
      <c r="AA41" s="345"/>
    </row>
    <row r="42" spans="1:28" x14ac:dyDescent="0.25">
      <c r="A42" s="1267" t="s">
        <v>366</v>
      </c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Q42" s="1268"/>
      <c r="R42" s="1268"/>
      <c r="S42" s="1268"/>
      <c r="T42" s="1268"/>
      <c r="U42" s="1268"/>
      <c r="V42" s="1268"/>
      <c r="W42" s="1268"/>
      <c r="X42" s="1268"/>
      <c r="Y42" s="1268"/>
      <c r="Z42" s="1269"/>
      <c r="AA42" s="346"/>
    </row>
    <row r="43" spans="1:28" x14ac:dyDescent="0.25">
      <c r="A43" s="1270" t="s">
        <v>397</v>
      </c>
      <c r="B43" s="1271"/>
      <c r="C43" s="1271"/>
      <c r="D43" s="1271"/>
      <c r="E43" s="1271"/>
      <c r="F43" s="1271"/>
      <c r="G43" s="1271"/>
      <c r="H43" s="1271"/>
      <c r="I43" s="1271"/>
      <c r="J43" s="1271"/>
      <c r="K43" s="1271"/>
      <c r="L43" s="1271"/>
      <c r="M43" s="1271"/>
      <c r="N43" s="1271"/>
      <c r="O43" s="1271"/>
      <c r="P43" s="1271"/>
      <c r="Q43" s="1271"/>
      <c r="R43" s="1271"/>
      <c r="S43" s="1271"/>
      <c r="T43" s="1271"/>
      <c r="U43" s="1271"/>
      <c r="V43" s="1271"/>
      <c r="W43" s="1271"/>
      <c r="X43" s="1271"/>
      <c r="Y43" s="1271"/>
      <c r="Z43" s="1272"/>
      <c r="AA43" s="346"/>
    </row>
    <row r="44" spans="1:28" ht="36" x14ac:dyDescent="0.25">
      <c r="A44" s="1263">
        <v>600501</v>
      </c>
      <c r="B44" s="153" t="s">
        <v>398</v>
      </c>
      <c r="C44" s="150" t="s">
        <v>399</v>
      </c>
      <c r="D44" s="135">
        <v>0.04</v>
      </c>
      <c r="E44" s="135">
        <v>0.02</v>
      </c>
      <c r="F44" s="151">
        <v>1.4</v>
      </c>
      <c r="G44" s="151">
        <v>1.2</v>
      </c>
      <c r="H44" s="135">
        <v>1</v>
      </c>
      <c r="I44" s="135">
        <v>0.7</v>
      </c>
      <c r="J44" s="135" t="s">
        <v>165</v>
      </c>
      <c r="K44" s="135">
        <v>0.6</v>
      </c>
      <c r="L44" s="135">
        <v>1</v>
      </c>
      <c r="M44" s="135">
        <v>0.1</v>
      </c>
      <c r="N44" s="135">
        <v>0.7</v>
      </c>
      <c r="O44" s="135">
        <v>37.5</v>
      </c>
      <c r="P44" s="135">
        <v>135600</v>
      </c>
      <c r="Q44" s="135" t="s">
        <v>165</v>
      </c>
      <c r="R44" s="135" t="s">
        <v>165</v>
      </c>
      <c r="S44" s="135" t="s">
        <v>165</v>
      </c>
      <c r="T44" s="135" t="s">
        <v>165</v>
      </c>
      <c r="U44" s="135" t="s">
        <v>165</v>
      </c>
      <c r="V44" s="1263" t="s">
        <v>442</v>
      </c>
      <c r="W44" s="1263">
        <v>3119</v>
      </c>
      <c r="X44" s="134">
        <v>0.85</v>
      </c>
      <c r="Y44" s="134">
        <f>ROUND((D44*E44*F44*H44*I44*K44*L44*M44*O44*1000000*N44/3600)*(1-X44),4)</f>
        <v>5.1499999999999997E-2</v>
      </c>
      <c r="Z44" s="134">
        <f>ROUND((D44*E44*G44*H44*I44*K44*L44*M44*N44*P44)*(1-X44),4)</f>
        <v>0.57410000000000005</v>
      </c>
      <c r="AA44" s="347"/>
    </row>
    <row r="45" spans="1:28" ht="24" x14ac:dyDescent="0.25">
      <c r="A45" s="1057"/>
      <c r="B45" s="153" t="s">
        <v>400</v>
      </c>
      <c r="C45" s="150" t="s">
        <v>399</v>
      </c>
      <c r="D45" s="135">
        <v>0.04</v>
      </c>
      <c r="E45" s="135">
        <v>0.02</v>
      </c>
      <c r="F45" s="151">
        <v>1.4</v>
      </c>
      <c r="G45" s="151">
        <v>1.2</v>
      </c>
      <c r="H45" s="135">
        <v>1</v>
      </c>
      <c r="I45" s="135">
        <v>0.7</v>
      </c>
      <c r="J45" s="135" t="s">
        <v>165</v>
      </c>
      <c r="K45" s="135">
        <v>0.6</v>
      </c>
      <c r="L45" s="135">
        <v>1</v>
      </c>
      <c r="M45" s="135">
        <v>0.2</v>
      </c>
      <c r="N45" s="135">
        <v>0.4</v>
      </c>
      <c r="O45" s="135">
        <v>125.57</v>
      </c>
      <c r="P45" s="135">
        <v>135600</v>
      </c>
      <c r="Q45" s="135" t="s">
        <v>165</v>
      </c>
      <c r="R45" s="135" t="s">
        <v>165</v>
      </c>
      <c r="S45" s="135" t="s">
        <v>165</v>
      </c>
      <c r="T45" s="135" t="s">
        <v>165</v>
      </c>
      <c r="U45" s="135" t="s">
        <v>165</v>
      </c>
      <c r="V45" s="1057"/>
      <c r="W45" s="1057"/>
      <c r="X45" s="135">
        <v>0.85</v>
      </c>
      <c r="Y45" s="135">
        <f>ROUND((D45*E45*F45*H45*I45*L45*M45*K45*O45*1000000*N45/3600)*(1-X45),4)</f>
        <v>0.19689999999999999</v>
      </c>
      <c r="Z45" s="135">
        <f>ROUND((D45*E45*G45*H45*I45*K45*L45*M45*N45*P45)*(1-X45),4)</f>
        <v>0.65610000000000002</v>
      </c>
      <c r="AA45" s="347"/>
    </row>
    <row r="46" spans="1:28" x14ac:dyDescent="0.25">
      <c r="A46" s="1057"/>
      <c r="B46" s="153" t="s">
        <v>396</v>
      </c>
      <c r="C46" s="150" t="s">
        <v>399</v>
      </c>
      <c r="D46" s="135" t="s">
        <v>165</v>
      </c>
      <c r="E46" s="135" t="s">
        <v>165</v>
      </c>
      <c r="F46" s="151">
        <v>1.4</v>
      </c>
      <c r="G46" s="151" t="s">
        <v>165</v>
      </c>
      <c r="H46" s="135">
        <v>1</v>
      </c>
      <c r="I46" s="135">
        <v>0.7</v>
      </c>
      <c r="J46" s="135">
        <v>1.3</v>
      </c>
      <c r="K46" s="135">
        <v>0.6</v>
      </c>
      <c r="L46" s="135" t="s">
        <v>165</v>
      </c>
      <c r="M46" s="135" t="s">
        <v>165</v>
      </c>
      <c r="N46" s="135" t="s">
        <v>165</v>
      </c>
      <c r="O46" s="135" t="s">
        <v>165</v>
      </c>
      <c r="P46" s="135" t="s">
        <v>165</v>
      </c>
      <c r="Q46" s="135">
        <v>3.0000000000000001E-3</v>
      </c>
      <c r="R46" s="135">
        <v>3600</v>
      </c>
      <c r="S46" s="135">
        <v>24</v>
      </c>
      <c r="T46" s="135">
        <v>144</v>
      </c>
      <c r="U46" s="135">
        <v>129</v>
      </c>
      <c r="V46" s="1057"/>
      <c r="W46" s="1057"/>
      <c r="X46" s="135">
        <v>0.85</v>
      </c>
      <c r="Y46" s="135">
        <f>ROUND((F46*H46*I46*J46*K46*Q46*R46)*(1-X46),4)</f>
        <v>1.2383</v>
      </c>
      <c r="Z46" s="135">
        <f>ROUND((((Y46*S46*(365-U46-T46)*3600)/1000000)),4)</f>
        <v>9.843</v>
      </c>
      <c r="AA46" s="347"/>
    </row>
    <row r="47" spans="1:28" ht="24" x14ac:dyDescent="0.25">
      <c r="A47" s="1056"/>
      <c r="B47" s="153" t="s">
        <v>402</v>
      </c>
      <c r="C47" s="150" t="s">
        <v>399</v>
      </c>
      <c r="D47" s="135">
        <v>0.04</v>
      </c>
      <c r="E47" s="135">
        <v>0.02</v>
      </c>
      <c r="F47" s="151">
        <v>1.4</v>
      </c>
      <c r="G47" s="151">
        <v>1.2</v>
      </c>
      <c r="H47" s="135">
        <v>0.1</v>
      </c>
      <c r="I47" s="135">
        <v>0.7</v>
      </c>
      <c r="J47" s="135" t="s">
        <v>165</v>
      </c>
      <c r="K47" s="135">
        <v>0.6</v>
      </c>
      <c r="L47" s="135">
        <v>1</v>
      </c>
      <c r="M47" s="135">
        <v>0.2</v>
      </c>
      <c r="N47" s="135">
        <v>0.6</v>
      </c>
      <c r="O47" s="135">
        <v>118.71</v>
      </c>
      <c r="P47" s="135">
        <v>135600</v>
      </c>
      <c r="Q47" s="135" t="s">
        <v>165</v>
      </c>
      <c r="R47" s="135" t="s">
        <v>165</v>
      </c>
      <c r="S47" s="135" t="s">
        <v>165</v>
      </c>
      <c r="T47" s="135" t="s">
        <v>165</v>
      </c>
      <c r="U47" s="135" t="s">
        <v>165</v>
      </c>
      <c r="V47" s="1056"/>
      <c r="W47" s="1056"/>
      <c r="X47" s="135">
        <v>0.85</v>
      </c>
      <c r="Y47" s="135">
        <f>ROUND((D47*E47*F47*H47*I47*L47*M47*K47*O47*1000000*N47/3600)*(1-X47),4)</f>
        <v>2.7900000000000001E-2</v>
      </c>
      <c r="Z47" s="135">
        <f>ROUND((D47*E47*G47*H47*I47*K47*L47*M47*N47*P47)*(1-X47),4)</f>
        <v>9.8400000000000001E-2</v>
      </c>
      <c r="AA47" s="347"/>
    </row>
    <row r="48" spans="1:28" ht="24" x14ac:dyDescent="0.25">
      <c r="A48" s="1273" t="s">
        <v>401</v>
      </c>
      <c r="B48" s="1274"/>
      <c r="C48" s="1274"/>
      <c r="D48" s="1274"/>
      <c r="E48" s="1274"/>
      <c r="F48" s="1274"/>
      <c r="G48" s="1274"/>
      <c r="H48" s="1274"/>
      <c r="I48" s="1274"/>
      <c r="J48" s="1274"/>
      <c r="K48" s="1274"/>
      <c r="L48" s="1274"/>
      <c r="M48" s="1274"/>
      <c r="N48" s="1274"/>
      <c r="O48" s="1274"/>
      <c r="P48" s="1274"/>
      <c r="Q48" s="1274"/>
      <c r="R48" s="1274"/>
      <c r="S48" s="1274"/>
      <c r="T48" s="1274"/>
      <c r="U48" s="1274"/>
      <c r="V48" s="152" t="s">
        <v>442</v>
      </c>
      <c r="W48" s="152">
        <v>3119</v>
      </c>
      <c r="X48" s="152"/>
      <c r="Y48" s="152">
        <f>Y44+Y45+Y46+Y47</f>
        <v>1.5145999999999999</v>
      </c>
      <c r="Z48" s="152">
        <f>SUM(Z44:Z47)</f>
        <v>11.1716</v>
      </c>
      <c r="AA48" s="348">
        <f>Y48</f>
        <v>1.5145999999999999</v>
      </c>
      <c r="AB48" s="329">
        <f>Z48</f>
        <v>11.1716</v>
      </c>
    </row>
    <row r="50" spans="31:33" x14ac:dyDescent="0.25">
      <c r="AE50" s="124"/>
      <c r="AF50" s="124"/>
      <c r="AG50" s="124"/>
    </row>
  </sheetData>
  <mergeCells count="43">
    <mergeCell ref="A38:Y38"/>
    <mergeCell ref="A31:Y31"/>
    <mergeCell ref="A32:Y32"/>
    <mergeCell ref="A33:Y33"/>
    <mergeCell ref="A34:Y34"/>
    <mergeCell ref="A36:U36"/>
    <mergeCell ref="A26:Y26"/>
    <mergeCell ref="A27:Y27"/>
    <mergeCell ref="A28:Y28"/>
    <mergeCell ref="A29:Y29"/>
    <mergeCell ref="A30:Y30"/>
    <mergeCell ref="A21:Y21"/>
    <mergeCell ref="A22:Y22"/>
    <mergeCell ref="A23:Y23"/>
    <mergeCell ref="A24:Y24"/>
    <mergeCell ref="A25:Y25"/>
    <mergeCell ref="A16:V16"/>
    <mergeCell ref="A17:V17"/>
    <mergeCell ref="A18:Y18"/>
    <mergeCell ref="A19:Y19"/>
    <mergeCell ref="A20:Y20"/>
    <mergeCell ref="A9:Y9"/>
    <mergeCell ref="A10:Y10"/>
    <mergeCell ref="A12:Y12"/>
    <mergeCell ref="A13:Y13"/>
    <mergeCell ref="A15:O15"/>
    <mergeCell ref="A3:O3"/>
    <mergeCell ref="A4:Y4"/>
    <mergeCell ref="A6:V6"/>
    <mergeCell ref="B7:X7"/>
    <mergeCell ref="A1:Z1"/>
    <mergeCell ref="A42:Z42"/>
    <mergeCell ref="A43:Z43"/>
    <mergeCell ref="A48:U48"/>
    <mergeCell ref="A44:A47"/>
    <mergeCell ref="V44:V47"/>
    <mergeCell ref="W44:W47"/>
    <mergeCell ref="Y39:Z39"/>
    <mergeCell ref="A39:A40"/>
    <mergeCell ref="B39:B40"/>
    <mergeCell ref="C39:C40"/>
    <mergeCell ref="V39:V40"/>
    <mergeCell ref="W39:W40"/>
  </mergeCells>
  <pageMargins left="0.31496062992125984" right="0.31496062992125984" top="0.78740157480314965" bottom="0.39370078740157483" header="0.31496062992125984" footer="0.19685039370078741"/>
  <pageSetup paperSize="9" firstPageNumber="39" orientation="landscape" useFirstPageNumber="1" r:id="rId1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31"/>
  <sheetViews>
    <sheetView view="pageBreakPreview" topLeftCell="A13" zoomScaleNormal="85" zoomScaleSheetLayoutView="100" workbookViewId="0">
      <selection activeCell="AF24" sqref="AF24"/>
    </sheetView>
  </sheetViews>
  <sheetFormatPr defaultRowHeight="15" x14ac:dyDescent="0.25"/>
  <cols>
    <col min="1" max="1" width="6.28515625" customWidth="1"/>
    <col min="2" max="2" width="12.42578125" customWidth="1"/>
    <col min="3" max="3" width="8.7109375" customWidth="1"/>
    <col min="4" max="4" width="4.7109375" customWidth="1"/>
    <col min="5" max="5" width="4.28515625" customWidth="1"/>
    <col min="6" max="7" width="4" customWidth="1"/>
    <col min="8" max="8" width="3.85546875" customWidth="1"/>
    <col min="9" max="9" width="4.28515625" customWidth="1"/>
    <col min="10" max="10" width="4.140625" customWidth="1"/>
    <col min="11" max="11" width="3.7109375" customWidth="1"/>
    <col min="12" max="12" width="3.5703125" customWidth="1"/>
    <col min="13" max="13" width="3.7109375" customWidth="1"/>
    <col min="14" max="14" width="3.28515625" customWidth="1"/>
    <col min="15" max="15" width="5.85546875" customWidth="1"/>
    <col min="16" max="16" width="6.42578125" customWidth="1"/>
    <col min="17" max="17" width="5.140625" customWidth="1"/>
    <col min="18" max="19" width="4.5703125" customWidth="1"/>
    <col min="20" max="21" width="3.7109375" customWidth="1"/>
    <col min="22" max="22" width="9.5703125" customWidth="1"/>
    <col min="23" max="23" width="4.7109375" customWidth="1"/>
    <col min="24" max="24" width="5.140625" customWidth="1"/>
    <col min="25" max="25" width="6.85546875" customWidth="1"/>
    <col min="26" max="27" width="6.7109375" customWidth="1"/>
  </cols>
  <sheetData>
    <row r="1" spans="1:28" ht="27" customHeight="1" x14ac:dyDescent="0.3">
      <c r="A1" s="1277" t="s">
        <v>1417</v>
      </c>
      <c r="B1" s="1277"/>
      <c r="C1" s="1277"/>
      <c r="D1" s="1277"/>
      <c r="E1" s="1277"/>
      <c r="F1" s="1277"/>
      <c r="G1" s="1277"/>
      <c r="H1" s="1277"/>
      <c r="I1" s="1277"/>
      <c r="J1" s="1277"/>
      <c r="K1" s="1277"/>
      <c r="L1" s="1277"/>
      <c r="M1" s="1277"/>
      <c r="N1" s="1277"/>
      <c r="O1" s="1277"/>
      <c r="P1" s="1277"/>
      <c r="Q1" s="1277"/>
      <c r="R1" s="1277"/>
      <c r="S1" s="1277"/>
      <c r="T1" s="1277"/>
      <c r="U1" s="1277"/>
      <c r="V1" s="1277"/>
      <c r="W1" s="1277"/>
      <c r="X1" s="1277"/>
      <c r="Y1" s="1277"/>
      <c r="Z1" s="337"/>
      <c r="AA1" s="507"/>
      <c r="AB1" s="419"/>
    </row>
    <row r="2" spans="1:28" ht="27.75" customHeight="1" x14ac:dyDescent="0.25">
      <c r="A2" s="1260" t="s">
        <v>372</v>
      </c>
      <c r="B2" s="1262" t="s">
        <v>373</v>
      </c>
      <c r="C2" s="1262" t="s">
        <v>374</v>
      </c>
      <c r="D2" s="50" t="s">
        <v>375</v>
      </c>
      <c r="E2" s="50" t="s">
        <v>376</v>
      </c>
      <c r="F2" s="138" t="s">
        <v>377</v>
      </c>
      <c r="G2" s="138" t="s">
        <v>377</v>
      </c>
      <c r="H2" s="138" t="s">
        <v>378</v>
      </c>
      <c r="I2" s="50" t="s">
        <v>379</v>
      </c>
      <c r="J2" s="50" t="s">
        <v>380</v>
      </c>
      <c r="K2" s="50" t="s">
        <v>381</v>
      </c>
      <c r="L2" s="50" t="s">
        <v>382</v>
      </c>
      <c r="M2" s="50" t="s">
        <v>383</v>
      </c>
      <c r="N2" s="138" t="s">
        <v>384</v>
      </c>
      <c r="O2" s="170" t="s">
        <v>385</v>
      </c>
      <c r="P2" s="139" t="s">
        <v>386</v>
      </c>
      <c r="Q2" s="138" t="s">
        <v>387</v>
      </c>
      <c r="R2" s="50" t="s">
        <v>388</v>
      </c>
      <c r="S2" s="50" t="s">
        <v>389</v>
      </c>
      <c r="T2" s="50" t="s">
        <v>390</v>
      </c>
      <c r="U2" s="50" t="s">
        <v>391</v>
      </c>
      <c r="V2" s="1263" t="s">
        <v>392</v>
      </c>
      <c r="W2" s="1265" t="s">
        <v>21</v>
      </c>
      <c r="X2" s="140" t="s">
        <v>169</v>
      </c>
      <c r="Y2" s="1258" t="s">
        <v>393</v>
      </c>
      <c r="Z2" s="1259"/>
      <c r="AA2" s="353"/>
    </row>
    <row r="3" spans="1:28" x14ac:dyDescent="0.25">
      <c r="A3" s="1261"/>
      <c r="B3" s="1262"/>
      <c r="C3" s="1262"/>
      <c r="D3" s="142"/>
      <c r="E3" s="143"/>
      <c r="F3" s="169" t="s">
        <v>18</v>
      </c>
      <c r="G3" s="169" t="s">
        <v>19</v>
      </c>
      <c r="H3" s="144"/>
      <c r="I3" s="143"/>
      <c r="J3" s="143"/>
      <c r="K3" s="143"/>
      <c r="L3" s="143"/>
      <c r="M3" s="143"/>
      <c r="N3" s="144"/>
      <c r="O3" s="178" t="s">
        <v>394</v>
      </c>
      <c r="P3" s="145" t="s">
        <v>19</v>
      </c>
      <c r="Q3" s="144"/>
      <c r="R3" s="143"/>
      <c r="S3" s="143" t="s">
        <v>395</v>
      </c>
      <c r="T3" s="146"/>
      <c r="U3" s="146"/>
      <c r="V3" s="1264"/>
      <c r="W3" s="1266"/>
      <c r="X3" s="143"/>
      <c r="Y3" s="141" t="s">
        <v>18</v>
      </c>
      <c r="Z3" s="137" t="s">
        <v>19</v>
      </c>
      <c r="AA3" s="353"/>
    </row>
    <row r="4" spans="1:28" x14ac:dyDescent="0.25">
      <c r="A4" s="147">
        <v>1</v>
      </c>
      <c r="B4" s="148">
        <v>2</v>
      </c>
      <c r="C4" s="148">
        <v>3</v>
      </c>
      <c r="D4" s="147">
        <v>4</v>
      </c>
      <c r="E4" s="147">
        <v>5</v>
      </c>
      <c r="F4" s="149">
        <v>6</v>
      </c>
      <c r="G4" s="149">
        <v>7</v>
      </c>
      <c r="H4" s="149">
        <v>8</v>
      </c>
      <c r="I4" s="147">
        <v>9</v>
      </c>
      <c r="J4" s="147">
        <v>10</v>
      </c>
      <c r="K4" s="147">
        <v>11</v>
      </c>
      <c r="L4" s="147">
        <v>12</v>
      </c>
      <c r="M4" s="147">
        <v>13</v>
      </c>
      <c r="N4" s="149">
        <v>14</v>
      </c>
      <c r="O4" s="147">
        <v>15</v>
      </c>
      <c r="P4" s="149">
        <v>16</v>
      </c>
      <c r="Q4" s="149">
        <v>17</v>
      </c>
      <c r="R4" s="147">
        <v>18</v>
      </c>
      <c r="S4" s="147">
        <v>19</v>
      </c>
      <c r="T4" s="133">
        <v>20</v>
      </c>
      <c r="U4" s="133">
        <v>21</v>
      </c>
      <c r="V4" s="133">
        <v>22</v>
      </c>
      <c r="W4" s="133">
        <v>23</v>
      </c>
      <c r="X4" s="133">
        <v>24</v>
      </c>
      <c r="Y4" s="147">
        <v>25</v>
      </c>
      <c r="Z4" s="147">
        <v>26</v>
      </c>
      <c r="AA4" s="912"/>
    </row>
    <row r="5" spans="1:28" x14ac:dyDescent="0.25">
      <c r="A5" s="1281" t="s">
        <v>1153</v>
      </c>
      <c r="B5" s="1282"/>
      <c r="C5" s="1282"/>
      <c r="D5" s="1282"/>
      <c r="E5" s="1282"/>
      <c r="F5" s="1282"/>
      <c r="G5" s="1282"/>
      <c r="H5" s="1282"/>
      <c r="I5" s="1282"/>
      <c r="J5" s="1282"/>
      <c r="K5" s="1282"/>
      <c r="L5" s="1282"/>
      <c r="M5" s="1282"/>
      <c r="N5" s="1282"/>
      <c r="O5" s="1282"/>
      <c r="P5" s="1282"/>
      <c r="Q5" s="1282"/>
      <c r="R5" s="1282"/>
      <c r="S5" s="1282"/>
      <c r="T5" s="1282"/>
      <c r="U5" s="1282"/>
      <c r="V5" s="1282"/>
      <c r="W5" s="1282"/>
      <c r="X5" s="1282"/>
      <c r="Y5" s="1282"/>
      <c r="Z5" s="1283"/>
      <c r="AA5" s="351"/>
    </row>
    <row r="6" spans="1:28" x14ac:dyDescent="0.25">
      <c r="A6" s="1284" t="s">
        <v>761</v>
      </c>
      <c r="B6" s="1285"/>
      <c r="C6" s="1285"/>
      <c r="D6" s="1285"/>
      <c r="E6" s="1285"/>
      <c r="F6" s="1285"/>
      <c r="G6" s="1285"/>
      <c r="H6" s="1285"/>
      <c r="I6" s="1285"/>
      <c r="J6" s="1285"/>
      <c r="K6" s="1285"/>
      <c r="L6" s="1285"/>
      <c r="M6" s="1285"/>
      <c r="N6" s="1285"/>
      <c r="O6" s="1285"/>
      <c r="P6" s="1285"/>
      <c r="Q6" s="1285"/>
      <c r="R6" s="1285"/>
      <c r="S6" s="1285"/>
      <c r="T6" s="1285"/>
      <c r="U6" s="1285"/>
      <c r="V6" s="1285"/>
      <c r="W6" s="1285"/>
      <c r="X6" s="1285"/>
      <c r="Y6" s="1285"/>
      <c r="Z6" s="1286"/>
      <c r="AA6" s="352"/>
    </row>
    <row r="7" spans="1:28" ht="36" x14ac:dyDescent="0.25">
      <c r="A7" s="1287">
        <v>600601</v>
      </c>
      <c r="B7" s="171" t="s">
        <v>763</v>
      </c>
      <c r="C7" s="172" t="s">
        <v>399</v>
      </c>
      <c r="D7" s="173">
        <v>0.04</v>
      </c>
      <c r="E7" s="173">
        <v>0.02</v>
      </c>
      <c r="F7" s="174">
        <v>1.4</v>
      </c>
      <c r="G7" s="174">
        <v>1.2</v>
      </c>
      <c r="H7" s="173">
        <v>0.5</v>
      </c>
      <c r="I7" s="173">
        <v>0.7</v>
      </c>
      <c r="J7" s="173" t="s">
        <v>165</v>
      </c>
      <c r="K7" s="173">
        <v>0.6</v>
      </c>
      <c r="L7" s="173">
        <v>1</v>
      </c>
      <c r="M7" s="173">
        <v>0.1</v>
      </c>
      <c r="N7" s="173">
        <v>0.7</v>
      </c>
      <c r="O7" s="173">
        <v>59.354999999999997</v>
      </c>
      <c r="P7" s="173">
        <f>ROUND((67800/4),0)</f>
        <v>16950</v>
      </c>
      <c r="Q7" s="173" t="s">
        <v>165</v>
      </c>
      <c r="R7" s="173" t="s">
        <v>165</v>
      </c>
      <c r="S7" s="173" t="s">
        <v>165</v>
      </c>
      <c r="T7" s="173" t="s">
        <v>165</v>
      </c>
      <c r="U7" s="173" t="s">
        <v>165</v>
      </c>
      <c r="V7" s="1287" t="s">
        <v>442</v>
      </c>
      <c r="W7" s="1287">
        <v>3119</v>
      </c>
      <c r="X7" s="175">
        <v>0.85</v>
      </c>
      <c r="Y7" s="175">
        <f>ROUND((D7*E7*F7*H7*I7*K7*L7*M7*O7*1000000*N7/3600)*(1-X7),4)</f>
        <v>4.07E-2</v>
      </c>
      <c r="Z7" s="175">
        <f>ROUND((D7*E7*G7*H7*I7*K7*L7*M7*N7*P7)*(1-X7),4)</f>
        <v>3.5900000000000001E-2</v>
      </c>
      <c r="AA7" s="353"/>
    </row>
    <row r="8" spans="1:28" ht="24" x14ac:dyDescent="0.25">
      <c r="A8" s="1063"/>
      <c r="B8" s="171" t="s">
        <v>400</v>
      </c>
      <c r="C8" s="172" t="s">
        <v>399</v>
      </c>
      <c r="D8" s="173">
        <v>0.04</v>
      </c>
      <c r="E8" s="173">
        <v>0.02</v>
      </c>
      <c r="F8" s="174">
        <v>1.4</v>
      </c>
      <c r="G8" s="174">
        <v>1.2</v>
      </c>
      <c r="H8" s="173">
        <v>0.5</v>
      </c>
      <c r="I8" s="173">
        <v>0.7</v>
      </c>
      <c r="J8" s="173" t="s">
        <v>165</v>
      </c>
      <c r="K8" s="173">
        <v>0.6</v>
      </c>
      <c r="L8" s="173">
        <v>1</v>
      </c>
      <c r="M8" s="173">
        <v>0.2</v>
      </c>
      <c r="N8" s="173">
        <v>0.4</v>
      </c>
      <c r="O8" s="173">
        <v>59.354999999999997</v>
      </c>
      <c r="P8" s="173">
        <f>P7</f>
        <v>16950</v>
      </c>
      <c r="Q8" s="173" t="s">
        <v>165</v>
      </c>
      <c r="R8" s="173" t="s">
        <v>165</v>
      </c>
      <c r="S8" s="173" t="s">
        <v>165</v>
      </c>
      <c r="T8" s="173" t="s">
        <v>165</v>
      </c>
      <c r="U8" s="173" t="s">
        <v>165</v>
      </c>
      <c r="V8" s="1063"/>
      <c r="W8" s="1063"/>
      <c r="X8" s="173">
        <v>0.85</v>
      </c>
      <c r="Y8" s="173">
        <f>ROUND((D8*E8*F8*H8*I8*L8*M8*K8*O8*1000000*N8/3600)*(1-X8),4)</f>
        <v>4.65E-2</v>
      </c>
      <c r="Z8" s="173">
        <f>ROUND((D8*E8*G8*H8*I8*K8*L8*M8*N8*P8)*(1-X8),4)</f>
        <v>4.1000000000000002E-2</v>
      </c>
      <c r="AA8" s="353"/>
    </row>
    <row r="9" spans="1:28" x14ac:dyDescent="0.25">
      <c r="A9" s="1063"/>
      <c r="B9" s="171" t="s">
        <v>396</v>
      </c>
      <c r="C9" s="172" t="s">
        <v>399</v>
      </c>
      <c r="D9" s="173" t="s">
        <v>165</v>
      </c>
      <c r="E9" s="173" t="s">
        <v>165</v>
      </c>
      <c r="F9" s="174">
        <v>1.4</v>
      </c>
      <c r="G9" s="174" t="s">
        <v>165</v>
      </c>
      <c r="H9" s="173">
        <v>0.5</v>
      </c>
      <c r="I9" s="173">
        <v>0.7</v>
      </c>
      <c r="J9" s="173">
        <v>1.3</v>
      </c>
      <c r="K9" s="173">
        <v>0.6</v>
      </c>
      <c r="L9" s="173" t="s">
        <v>165</v>
      </c>
      <c r="M9" s="173" t="s">
        <v>165</v>
      </c>
      <c r="N9" s="173" t="s">
        <v>165</v>
      </c>
      <c r="O9" s="173" t="s">
        <v>165</v>
      </c>
      <c r="P9" s="173" t="s">
        <v>165</v>
      </c>
      <c r="Q9" s="173">
        <v>3.0000000000000001E-3</v>
      </c>
      <c r="R9" s="173">
        <f>ROUND((885/4),0)</f>
        <v>221</v>
      </c>
      <c r="S9" s="173">
        <v>24</v>
      </c>
      <c r="T9" s="173">
        <v>144</v>
      </c>
      <c r="U9" s="173">
        <v>129</v>
      </c>
      <c r="V9" s="1063"/>
      <c r="W9" s="1063"/>
      <c r="X9" s="173">
        <v>0.85</v>
      </c>
      <c r="Y9" s="173">
        <f>ROUND((F9*H9*I9*J9*K9*Q9*R9)*(1-X9),4)</f>
        <v>3.7999999999999999E-2</v>
      </c>
      <c r="Z9" s="173">
        <f>ROUND((((Y9*S9*(365-U9-T9)*3600)/1000000)),4)</f>
        <v>0.30209999999999998</v>
      </c>
      <c r="AA9" s="353"/>
    </row>
    <row r="10" spans="1:28" ht="24" x14ac:dyDescent="0.25">
      <c r="A10" s="1062"/>
      <c r="B10" s="171" t="s">
        <v>764</v>
      </c>
      <c r="C10" s="172" t="s">
        <v>399</v>
      </c>
      <c r="D10" s="173">
        <v>0.04</v>
      </c>
      <c r="E10" s="173">
        <v>0.02</v>
      </c>
      <c r="F10" s="174">
        <v>1.4</v>
      </c>
      <c r="G10" s="174">
        <v>1.2</v>
      </c>
      <c r="H10" s="173">
        <v>0.5</v>
      </c>
      <c r="I10" s="173">
        <v>0.7</v>
      </c>
      <c r="J10" s="173" t="s">
        <v>165</v>
      </c>
      <c r="K10" s="173">
        <v>0.6</v>
      </c>
      <c r="L10" s="173">
        <v>1</v>
      </c>
      <c r="M10" s="173">
        <v>0.2</v>
      </c>
      <c r="N10" s="173">
        <v>0.4</v>
      </c>
      <c r="O10" s="173">
        <v>9.11</v>
      </c>
      <c r="P10" s="173">
        <f>P7</f>
        <v>16950</v>
      </c>
      <c r="Q10" s="173" t="s">
        <v>165</v>
      </c>
      <c r="R10" s="173" t="s">
        <v>165</v>
      </c>
      <c r="S10" s="173" t="s">
        <v>165</v>
      </c>
      <c r="T10" s="173" t="s">
        <v>165</v>
      </c>
      <c r="U10" s="173" t="s">
        <v>165</v>
      </c>
      <c r="V10" s="1062"/>
      <c r="W10" s="1062"/>
      <c r="X10" s="173">
        <v>0.85</v>
      </c>
      <c r="Y10" s="173">
        <f>ROUND((D10*E10*F10*H10*I10*L10*M10*K10*O10*1000000*N10/3600)*(1-X10),4)</f>
        <v>7.1000000000000004E-3</v>
      </c>
      <c r="Z10" s="173">
        <f>ROUND((D10*E10*G10*H10*I10*K10*L10*M10*N10*P10)*(1-X10),4)</f>
        <v>4.1000000000000002E-2</v>
      </c>
      <c r="AA10" s="353"/>
    </row>
    <row r="11" spans="1:28" ht="24" x14ac:dyDescent="0.25">
      <c r="A11" s="1279" t="s">
        <v>765</v>
      </c>
      <c r="B11" s="1280"/>
      <c r="C11" s="1280"/>
      <c r="D11" s="1280"/>
      <c r="E11" s="1280"/>
      <c r="F11" s="1280"/>
      <c r="G11" s="1280"/>
      <c r="H11" s="1280"/>
      <c r="I11" s="1280"/>
      <c r="J11" s="1280"/>
      <c r="K11" s="1280"/>
      <c r="L11" s="1280"/>
      <c r="M11" s="1280"/>
      <c r="N11" s="1280"/>
      <c r="O11" s="1280"/>
      <c r="P11" s="1280"/>
      <c r="Q11" s="1280"/>
      <c r="R11" s="1280"/>
      <c r="S11" s="1280"/>
      <c r="T11" s="1280"/>
      <c r="U11" s="1280"/>
      <c r="V11" s="176" t="s">
        <v>442</v>
      </c>
      <c r="W11" s="176">
        <v>3119</v>
      </c>
      <c r="X11" s="176"/>
      <c r="Y11" s="176">
        <f>Y7+Y8+Y9+Y10</f>
        <v>0.1323</v>
      </c>
      <c r="Z11" s="176">
        <f>SUM(Z7:Z10)</f>
        <v>0.42</v>
      </c>
      <c r="AA11" s="913">
        <f>Y11</f>
        <v>0.1323</v>
      </c>
      <c r="AB11" s="913">
        <f>Z11</f>
        <v>0.42</v>
      </c>
    </row>
    <row r="12" spans="1:28" x14ac:dyDescent="0.25">
      <c r="A12" s="1284" t="s">
        <v>762</v>
      </c>
      <c r="B12" s="1285"/>
      <c r="C12" s="1285"/>
      <c r="D12" s="1285"/>
      <c r="E12" s="1285"/>
      <c r="F12" s="1285"/>
      <c r="G12" s="1285"/>
      <c r="H12" s="1285"/>
      <c r="I12" s="1285"/>
      <c r="J12" s="1285"/>
      <c r="K12" s="1285"/>
      <c r="L12" s="1285"/>
      <c r="M12" s="1285"/>
      <c r="N12" s="1285"/>
      <c r="O12" s="1285"/>
      <c r="P12" s="1285"/>
      <c r="Q12" s="1285"/>
      <c r="R12" s="1285"/>
      <c r="S12" s="1285"/>
      <c r="T12" s="1285"/>
      <c r="U12" s="1285"/>
      <c r="V12" s="1285"/>
      <c r="W12" s="1285"/>
      <c r="X12" s="1285"/>
      <c r="Y12" s="1285"/>
      <c r="Z12" s="1286"/>
      <c r="AA12" s="352"/>
    </row>
    <row r="13" spans="1:28" ht="36" x14ac:dyDescent="0.25">
      <c r="A13" s="1287">
        <v>600701</v>
      </c>
      <c r="B13" s="171" t="s">
        <v>763</v>
      </c>
      <c r="C13" s="172" t="s">
        <v>399</v>
      </c>
      <c r="D13" s="173">
        <v>0.04</v>
      </c>
      <c r="E13" s="173">
        <v>0.02</v>
      </c>
      <c r="F13" s="174">
        <v>1.4</v>
      </c>
      <c r="G13" s="174">
        <v>1.2</v>
      </c>
      <c r="H13" s="173">
        <v>0.5</v>
      </c>
      <c r="I13" s="173">
        <v>0.7</v>
      </c>
      <c r="J13" s="173" t="s">
        <v>165</v>
      </c>
      <c r="K13" s="173">
        <v>0.6</v>
      </c>
      <c r="L13" s="173">
        <v>1</v>
      </c>
      <c r="M13" s="173">
        <v>0.1</v>
      </c>
      <c r="N13" s="173">
        <v>0.7</v>
      </c>
      <c r="O13" s="173">
        <v>59.354999999999997</v>
      </c>
      <c r="P13" s="173">
        <f>ROUND((67800/4),0)</f>
        <v>16950</v>
      </c>
      <c r="Q13" s="173" t="s">
        <v>165</v>
      </c>
      <c r="R13" s="173" t="s">
        <v>165</v>
      </c>
      <c r="S13" s="173" t="s">
        <v>165</v>
      </c>
      <c r="T13" s="173" t="s">
        <v>165</v>
      </c>
      <c r="U13" s="173" t="s">
        <v>165</v>
      </c>
      <c r="V13" s="1287" t="s">
        <v>442</v>
      </c>
      <c r="W13" s="1287">
        <v>3119</v>
      </c>
      <c r="X13" s="175">
        <v>0.85</v>
      </c>
      <c r="Y13" s="175">
        <f>ROUND((D13*E13*F13*H13*I13*K13*L13*M13*O13*1000000*N13/3600)*(1-X13),4)</f>
        <v>4.07E-2</v>
      </c>
      <c r="Z13" s="175">
        <f>ROUND((D13*E13*G13*H13*I13*K13*L13*M13*N13*P13)*(1-X13),4)</f>
        <v>3.5900000000000001E-2</v>
      </c>
      <c r="AA13" s="353"/>
    </row>
    <row r="14" spans="1:28" ht="24" x14ac:dyDescent="0.25">
      <c r="A14" s="1063"/>
      <c r="B14" s="171" t="s">
        <v>400</v>
      </c>
      <c r="C14" s="172" t="s">
        <v>399</v>
      </c>
      <c r="D14" s="173">
        <v>0.04</v>
      </c>
      <c r="E14" s="173">
        <v>0.02</v>
      </c>
      <c r="F14" s="174">
        <v>1.4</v>
      </c>
      <c r="G14" s="174">
        <v>1.2</v>
      </c>
      <c r="H14" s="173">
        <v>0.5</v>
      </c>
      <c r="I14" s="173">
        <v>0.7</v>
      </c>
      <c r="J14" s="173" t="s">
        <v>165</v>
      </c>
      <c r="K14" s="173">
        <v>0.6</v>
      </c>
      <c r="L14" s="173">
        <v>1</v>
      </c>
      <c r="M14" s="173">
        <v>0.2</v>
      </c>
      <c r="N14" s="173">
        <v>0.4</v>
      </c>
      <c r="O14" s="173">
        <v>59.354999999999997</v>
      </c>
      <c r="P14" s="173">
        <f>P13</f>
        <v>16950</v>
      </c>
      <c r="Q14" s="173" t="s">
        <v>165</v>
      </c>
      <c r="R14" s="173" t="s">
        <v>165</v>
      </c>
      <c r="S14" s="173" t="s">
        <v>165</v>
      </c>
      <c r="T14" s="173" t="s">
        <v>165</v>
      </c>
      <c r="U14" s="173" t="s">
        <v>165</v>
      </c>
      <c r="V14" s="1063"/>
      <c r="W14" s="1063"/>
      <c r="X14" s="173">
        <v>0.85</v>
      </c>
      <c r="Y14" s="173">
        <f>ROUND((D14*E14*F14*H14*I14*L14*M14*K14*O14*1000000*N14/3600)*(1-X14),4)</f>
        <v>4.65E-2</v>
      </c>
      <c r="Z14" s="173">
        <f>ROUND((D14*E14*G14*H14*I14*K14*L14*M14*N14*P14)*(1-X14),4)</f>
        <v>4.1000000000000002E-2</v>
      </c>
      <c r="AA14" s="353"/>
    </row>
    <row r="15" spans="1:28" x14ac:dyDescent="0.25">
      <c r="A15" s="1063"/>
      <c r="B15" s="171" t="s">
        <v>396</v>
      </c>
      <c r="C15" s="172" t="s">
        <v>399</v>
      </c>
      <c r="D15" s="173" t="s">
        <v>165</v>
      </c>
      <c r="E15" s="173" t="s">
        <v>165</v>
      </c>
      <c r="F15" s="174">
        <v>1.4</v>
      </c>
      <c r="G15" s="174" t="s">
        <v>165</v>
      </c>
      <c r="H15" s="173">
        <v>0.5</v>
      </c>
      <c r="I15" s="173">
        <v>0.7</v>
      </c>
      <c r="J15" s="173">
        <v>1.3</v>
      </c>
      <c r="K15" s="173">
        <v>0.6</v>
      </c>
      <c r="L15" s="173" t="s">
        <v>165</v>
      </c>
      <c r="M15" s="173" t="s">
        <v>165</v>
      </c>
      <c r="N15" s="173" t="s">
        <v>165</v>
      </c>
      <c r="O15" s="173" t="s">
        <v>165</v>
      </c>
      <c r="P15" s="173" t="s">
        <v>165</v>
      </c>
      <c r="Q15" s="173">
        <v>3.0000000000000001E-3</v>
      </c>
      <c r="R15" s="173">
        <f>ROUND((885/4),0)</f>
        <v>221</v>
      </c>
      <c r="S15" s="173">
        <v>24</v>
      </c>
      <c r="T15" s="173">
        <v>144</v>
      </c>
      <c r="U15" s="173">
        <v>129</v>
      </c>
      <c r="V15" s="1063"/>
      <c r="W15" s="1063"/>
      <c r="X15" s="173">
        <v>0.85</v>
      </c>
      <c r="Y15" s="173">
        <f>ROUND((F15*H15*I15*J15*K15*Q15*R15)*(1-X15),4)</f>
        <v>3.7999999999999999E-2</v>
      </c>
      <c r="Z15" s="173">
        <f>ROUND((((Y15*S15*(365-U15-T15)*3600)/1000000)),4)</f>
        <v>0.30209999999999998</v>
      </c>
      <c r="AA15" s="353"/>
    </row>
    <row r="16" spans="1:28" ht="24" x14ac:dyDescent="0.25">
      <c r="A16" s="1062"/>
      <c r="B16" s="171" t="s">
        <v>764</v>
      </c>
      <c r="C16" s="172" t="s">
        <v>399</v>
      </c>
      <c r="D16" s="173">
        <v>0.04</v>
      </c>
      <c r="E16" s="173">
        <v>0.02</v>
      </c>
      <c r="F16" s="174">
        <v>1.4</v>
      </c>
      <c r="G16" s="174">
        <v>1.2</v>
      </c>
      <c r="H16" s="173">
        <v>0.5</v>
      </c>
      <c r="I16" s="173">
        <v>0.7</v>
      </c>
      <c r="J16" s="173" t="s">
        <v>165</v>
      </c>
      <c r="K16" s="173">
        <v>0.6</v>
      </c>
      <c r="L16" s="173">
        <v>1</v>
      </c>
      <c r="M16" s="173">
        <v>0.2</v>
      </c>
      <c r="N16" s="173">
        <v>0.4</v>
      </c>
      <c r="O16" s="173">
        <v>9.11</v>
      </c>
      <c r="P16" s="173">
        <f>P13</f>
        <v>16950</v>
      </c>
      <c r="Q16" s="173" t="s">
        <v>165</v>
      </c>
      <c r="R16" s="173" t="s">
        <v>165</v>
      </c>
      <c r="S16" s="173" t="s">
        <v>165</v>
      </c>
      <c r="T16" s="173" t="s">
        <v>165</v>
      </c>
      <c r="U16" s="173" t="s">
        <v>165</v>
      </c>
      <c r="V16" s="1062"/>
      <c r="W16" s="1062"/>
      <c r="X16" s="173">
        <v>0.85</v>
      </c>
      <c r="Y16" s="173">
        <f>ROUND((D16*E16*F16*H16*I16*L16*M16*K16*O16*1000000*N16/3600)*(1-X16),4)</f>
        <v>7.1000000000000004E-3</v>
      </c>
      <c r="Z16" s="173">
        <f>ROUND((D16*E16*G16*H16*I16*K16*L16*M16*N16*P16)*(1-X16),4)</f>
        <v>4.1000000000000002E-2</v>
      </c>
      <c r="AA16" s="353"/>
    </row>
    <row r="17" spans="1:28" ht="24" x14ac:dyDescent="0.25">
      <c r="A17" s="1279" t="s">
        <v>766</v>
      </c>
      <c r="B17" s="1280"/>
      <c r="C17" s="1280"/>
      <c r="D17" s="1280"/>
      <c r="E17" s="1280"/>
      <c r="F17" s="1280"/>
      <c r="G17" s="1280"/>
      <c r="H17" s="1280"/>
      <c r="I17" s="1280"/>
      <c r="J17" s="1280"/>
      <c r="K17" s="1280"/>
      <c r="L17" s="1280"/>
      <c r="M17" s="1280"/>
      <c r="N17" s="1280"/>
      <c r="O17" s="1280"/>
      <c r="P17" s="1280"/>
      <c r="Q17" s="1280"/>
      <c r="R17" s="1280"/>
      <c r="S17" s="1280"/>
      <c r="T17" s="1280"/>
      <c r="U17" s="1280"/>
      <c r="V17" s="176" t="s">
        <v>442</v>
      </c>
      <c r="W17" s="176">
        <v>3119</v>
      </c>
      <c r="X17" s="176"/>
      <c r="Y17" s="176">
        <f>Y13+Y14+Y15+Y16</f>
        <v>0.1323</v>
      </c>
      <c r="Z17" s="176">
        <f>SUM(Z13:Z16)</f>
        <v>0.42</v>
      </c>
      <c r="AA17" s="913">
        <f>Y17</f>
        <v>0.1323</v>
      </c>
      <c r="AB17" s="913">
        <f>Z17</f>
        <v>0.42</v>
      </c>
    </row>
    <row r="18" spans="1:28" x14ac:dyDescent="0.25">
      <c r="A18" s="1281" t="s">
        <v>147</v>
      </c>
      <c r="B18" s="1282"/>
      <c r="C18" s="1282"/>
      <c r="D18" s="1282"/>
      <c r="E18" s="1282"/>
      <c r="F18" s="1282"/>
      <c r="G18" s="1282"/>
      <c r="H18" s="1282"/>
      <c r="I18" s="1282"/>
      <c r="J18" s="1282"/>
      <c r="K18" s="1282"/>
      <c r="L18" s="1282"/>
      <c r="M18" s="1282"/>
      <c r="N18" s="1282"/>
      <c r="O18" s="1282"/>
      <c r="P18" s="1282"/>
      <c r="Q18" s="1282"/>
      <c r="R18" s="1282"/>
      <c r="S18" s="1282"/>
      <c r="T18" s="1282"/>
      <c r="U18" s="1282"/>
      <c r="V18" s="1282"/>
      <c r="W18" s="1282"/>
      <c r="X18" s="1282"/>
      <c r="Y18" s="1282"/>
      <c r="Z18" s="1283"/>
      <c r="AA18" s="351">
        <f>SUM(AA11:AA17)</f>
        <v>0.2646</v>
      </c>
      <c r="AB18" s="351">
        <f>SUM(AB11:AB17)</f>
        <v>0.84</v>
      </c>
    </row>
    <row r="19" spans="1:28" x14ac:dyDescent="0.25">
      <c r="A19" s="1284" t="s">
        <v>761</v>
      </c>
      <c r="B19" s="1285"/>
      <c r="C19" s="1285"/>
      <c r="D19" s="1285"/>
      <c r="E19" s="1285"/>
      <c r="F19" s="1285"/>
      <c r="G19" s="1285"/>
      <c r="H19" s="1285"/>
      <c r="I19" s="1285"/>
      <c r="J19" s="1285"/>
      <c r="K19" s="1285"/>
      <c r="L19" s="1285"/>
      <c r="M19" s="1285"/>
      <c r="N19" s="1285"/>
      <c r="O19" s="1285"/>
      <c r="P19" s="1285"/>
      <c r="Q19" s="1285"/>
      <c r="R19" s="1285"/>
      <c r="S19" s="1285"/>
      <c r="T19" s="1285"/>
      <c r="U19" s="1285"/>
      <c r="V19" s="1285"/>
      <c r="W19" s="1285"/>
      <c r="X19" s="1285"/>
      <c r="Y19" s="1285"/>
      <c r="Z19" s="1286"/>
      <c r="AA19" s="352"/>
    </row>
    <row r="20" spans="1:28" ht="36" x14ac:dyDescent="0.25">
      <c r="A20" s="1287">
        <v>600601</v>
      </c>
      <c r="B20" s="171" t="s">
        <v>763</v>
      </c>
      <c r="C20" s="172" t="s">
        <v>399</v>
      </c>
      <c r="D20" s="173">
        <v>0.04</v>
      </c>
      <c r="E20" s="173">
        <v>0.02</v>
      </c>
      <c r="F20" s="174">
        <v>1.4</v>
      </c>
      <c r="G20" s="174">
        <v>1.2</v>
      </c>
      <c r="H20" s="173">
        <v>0.5</v>
      </c>
      <c r="I20" s="173">
        <v>0.7</v>
      </c>
      <c r="J20" s="173" t="s">
        <v>165</v>
      </c>
      <c r="K20" s="173">
        <v>0.6</v>
      </c>
      <c r="L20" s="173">
        <v>1</v>
      </c>
      <c r="M20" s="173">
        <v>0.1</v>
      </c>
      <c r="N20" s="173">
        <v>0.7</v>
      </c>
      <c r="O20" s="173">
        <v>59.354999999999997</v>
      </c>
      <c r="P20" s="173">
        <v>67800</v>
      </c>
      <c r="Q20" s="173" t="s">
        <v>165</v>
      </c>
      <c r="R20" s="173" t="s">
        <v>165</v>
      </c>
      <c r="S20" s="173" t="s">
        <v>165</v>
      </c>
      <c r="T20" s="173" t="s">
        <v>165</v>
      </c>
      <c r="U20" s="173" t="s">
        <v>165</v>
      </c>
      <c r="V20" s="1287" t="s">
        <v>442</v>
      </c>
      <c r="W20" s="1287">
        <v>3119</v>
      </c>
      <c r="X20" s="175">
        <v>0.85</v>
      </c>
      <c r="Y20" s="175">
        <f>ROUND((D20*E20*F20*H20*I20*K20*L20*M20*O20*1000000*N20/3600)*(1-X20),4)</f>
        <v>4.07E-2</v>
      </c>
      <c r="Z20" s="175">
        <f>ROUND((D20*E20*G20*H20*I20*K20*L20*M20*N20*P20)*(1-X20),4)</f>
        <v>0.14349999999999999</v>
      </c>
      <c r="AA20" s="353"/>
    </row>
    <row r="21" spans="1:28" ht="24" x14ac:dyDescent="0.25">
      <c r="A21" s="1063"/>
      <c r="B21" s="171" t="s">
        <v>400</v>
      </c>
      <c r="C21" s="172" t="s">
        <v>399</v>
      </c>
      <c r="D21" s="173">
        <v>0.04</v>
      </c>
      <c r="E21" s="173">
        <v>0.02</v>
      </c>
      <c r="F21" s="174">
        <v>1.4</v>
      </c>
      <c r="G21" s="174">
        <v>1.2</v>
      </c>
      <c r="H21" s="173">
        <v>0.5</v>
      </c>
      <c r="I21" s="173">
        <v>0.7</v>
      </c>
      <c r="J21" s="173" t="s">
        <v>165</v>
      </c>
      <c r="K21" s="173">
        <v>0.6</v>
      </c>
      <c r="L21" s="173">
        <v>1</v>
      </c>
      <c r="M21" s="173">
        <v>0.2</v>
      </c>
      <c r="N21" s="173">
        <v>0.4</v>
      </c>
      <c r="O21" s="173">
        <v>59.354999999999997</v>
      </c>
      <c r="P21" s="173">
        <v>67800</v>
      </c>
      <c r="Q21" s="173" t="s">
        <v>165</v>
      </c>
      <c r="R21" s="173" t="s">
        <v>165</v>
      </c>
      <c r="S21" s="173" t="s">
        <v>165</v>
      </c>
      <c r="T21" s="173" t="s">
        <v>165</v>
      </c>
      <c r="U21" s="173" t="s">
        <v>165</v>
      </c>
      <c r="V21" s="1063"/>
      <c r="W21" s="1063"/>
      <c r="X21" s="173">
        <v>0.85</v>
      </c>
      <c r="Y21" s="173">
        <f>ROUND((D21*E21*F21*H21*I21*L21*M21*K21*O21*1000000*N21/3600)*(1-X21),4)</f>
        <v>4.65E-2</v>
      </c>
      <c r="Z21" s="173">
        <f>ROUND((D21*E21*G21*H21*I21*K21*L21*M21*N21*P21)*(1-X21),4)</f>
        <v>0.16400000000000001</v>
      </c>
      <c r="AA21" s="353"/>
    </row>
    <row r="22" spans="1:28" x14ac:dyDescent="0.25">
      <c r="A22" s="1063"/>
      <c r="B22" s="171" t="s">
        <v>396</v>
      </c>
      <c r="C22" s="172" t="s">
        <v>399</v>
      </c>
      <c r="D22" s="173" t="s">
        <v>165</v>
      </c>
      <c r="E22" s="173" t="s">
        <v>165</v>
      </c>
      <c r="F22" s="174">
        <v>1.4</v>
      </c>
      <c r="G22" s="174" t="s">
        <v>165</v>
      </c>
      <c r="H22" s="173">
        <v>0.5</v>
      </c>
      <c r="I22" s="173">
        <v>0.7</v>
      </c>
      <c r="J22" s="173">
        <v>1.3</v>
      </c>
      <c r="K22" s="173">
        <v>0.6</v>
      </c>
      <c r="L22" s="173" t="s">
        <v>165</v>
      </c>
      <c r="M22" s="173" t="s">
        <v>165</v>
      </c>
      <c r="N22" s="173" t="s">
        <v>165</v>
      </c>
      <c r="O22" s="173" t="s">
        <v>165</v>
      </c>
      <c r="P22" s="173" t="s">
        <v>165</v>
      </c>
      <c r="Q22" s="173">
        <v>3.0000000000000001E-3</v>
      </c>
      <c r="R22" s="173">
        <v>885</v>
      </c>
      <c r="S22" s="173">
        <v>24</v>
      </c>
      <c r="T22" s="173">
        <v>144</v>
      </c>
      <c r="U22" s="173">
        <v>129</v>
      </c>
      <c r="V22" s="1063"/>
      <c r="W22" s="1063"/>
      <c r="X22" s="173">
        <v>0.85</v>
      </c>
      <c r="Y22" s="173">
        <f>ROUND((F22*H22*I22*J22*K22*Q22*R22)*(1-X22),4)</f>
        <v>0.1522</v>
      </c>
      <c r="Z22" s="173">
        <f>ROUND((((Y22*S22*(365-U22-T22)*3600)/1000000)),4)</f>
        <v>1.2098</v>
      </c>
      <c r="AA22" s="353"/>
    </row>
    <row r="23" spans="1:28" ht="24" x14ac:dyDescent="0.25">
      <c r="A23" s="1062"/>
      <c r="B23" s="171" t="s">
        <v>764</v>
      </c>
      <c r="C23" s="172" t="s">
        <v>399</v>
      </c>
      <c r="D23" s="173">
        <v>0.04</v>
      </c>
      <c r="E23" s="173">
        <v>0.02</v>
      </c>
      <c r="F23" s="174">
        <v>1.4</v>
      </c>
      <c r="G23" s="174">
        <v>1.2</v>
      </c>
      <c r="H23" s="173">
        <v>0.5</v>
      </c>
      <c r="I23" s="173">
        <v>0.7</v>
      </c>
      <c r="J23" s="173" t="s">
        <v>165</v>
      </c>
      <c r="K23" s="173">
        <v>0.6</v>
      </c>
      <c r="L23" s="173">
        <v>1</v>
      </c>
      <c r="M23" s="173">
        <v>0.2</v>
      </c>
      <c r="N23" s="173">
        <v>0.4</v>
      </c>
      <c r="O23" s="173">
        <v>9.11</v>
      </c>
      <c r="P23" s="173">
        <v>67800</v>
      </c>
      <c r="Q23" s="173" t="s">
        <v>165</v>
      </c>
      <c r="R23" s="173" t="s">
        <v>165</v>
      </c>
      <c r="S23" s="173" t="s">
        <v>165</v>
      </c>
      <c r="T23" s="173" t="s">
        <v>165</v>
      </c>
      <c r="U23" s="173" t="s">
        <v>165</v>
      </c>
      <c r="V23" s="1062"/>
      <c r="W23" s="1062"/>
      <c r="X23" s="173">
        <v>0.85</v>
      </c>
      <c r="Y23" s="173">
        <f>ROUND((D23*E23*F23*H23*I23*L23*M23*K23*O23*1000000*N23/3600)*(1-X23),4)</f>
        <v>7.1000000000000004E-3</v>
      </c>
      <c r="Z23" s="173">
        <f>ROUND((D23*E23*G23*H23*I23*K23*L23*M23*N23*P23)*(1-X23),4)</f>
        <v>0.16400000000000001</v>
      </c>
      <c r="AA23" s="353"/>
    </row>
    <row r="24" spans="1:28" ht="24" x14ac:dyDescent="0.25">
      <c r="A24" s="1279" t="s">
        <v>765</v>
      </c>
      <c r="B24" s="1280"/>
      <c r="C24" s="1280"/>
      <c r="D24" s="1280"/>
      <c r="E24" s="1280"/>
      <c r="F24" s="1280"/>
      <c r="G24" s="1280"/>
      <c r="H24" s="1280"/>
      <c r="I24" s="1280"/>
      <c r="J24" s="1280"/>
      <c r="K24" s="1280"/>
      <c r="L24" s="1280"/>
      <c r="M24" s="1280"/>
      <c r="N24" s="1280"/>
      <c r="O24" s="1280"/>
      <c r="P24" s="1280"/>
      <c r="Q24" s="1280"/>
      <c r="R24" s="1280"/>
      <c r="S24" s="1280"/>
      <c r="T24" s="1280"/>
      <c r="U24" s="1280"/>
      <c r="V24" s="176" t="s">
        <v>442</v>
      </c>
      <c r="W24" s="176">
        <v>3119</v>
      </c>
      <c r="X24" s="176"/>
      <c r="Y24" s="176">
        <f>Y20+Y21+Y22+Y23</f>
        <v>0.2465</v>
      </c>
      <c r="Z24" s="176">
        <f>SUM(Z20:Z23)</f>
        <v>1.6813</v>
      </c>
      <c r="AA24" s="913">
        <f>Y24</f>
        <v>0.2465</v>
      </c>
      <c r="AB24" s="913">
        <f>Z24</f>
        <v>1.6813</v>
      </c>
    </row>
    <row r="25" spans="1:28" x14ac:dyDescent="0.25">
      <c r="A25" s="1284" t="s">
        <v>762</v>
      </c>
      <c r="B25" s="1285"/>
      <c r="C25" s="1285"/>
      <c r="D25" s="1285"/>
      <c r="E25" s="1285"/>
      <c r="F25" s="1285"/>
      <c r="G25" s="1285"/>
      <c r="H25" s="1285"/>
      <c r="I25" s="1285"/>
      <c r="J25" s="1285"/>
      <c r="K25" s="1285"/>
      <c r="L25" s="1285"/>
      <c r="M25" s="1285"/>
      <c r="N25" s="1285"/>
      <c r="O25" s="1285"/>
      <c r="P25" s="1285"/>
      <c r="Q25" s="1285"/>
      <c r="R25" s="1285"/>
      <c r="S25" s="1285"/>
      <c r="T25" s="1285"/>
      <c r="U25" s="1285"/>
      <c r="V25" s="1285"/>
      <c r="W25" s="1285"/>
      <c r="X25" s="1285"/>
      <c r="Y25" s="1285"/>
      <c r="Z25" s="1286"/>
      <c r="AA25" s="352"/>
    </row>
    <row r="26" spans="1:28" ht="36" x14ac:dyDescent="0.25">
      <c r="A26" s="1287">
        <v>600701</v>
      </c>
      <c r="B26" s="171" t="s">
        <v>763</v>
      </c>
      <c r="C26" s="172" t="s">
        <v>399</v>
      </c>
      <c r="D26" s="173">
        <v>0.04</v>
      </c>
      <c r="E26" s="173">
        <v>0.02</v>
      </c>
      <c r="F26" s="174">
        <v>1.4</v>
      </c>
      <c r="G26" s="174">
        <v>1.2</v>
      </c>
      <c r="H26" s="173">
        <v>0.5</v>
      </c>
      <c r="I26" s="173">
        <v>0.7</v>
      </c>
      <c r="J26" s="173" t="s">
        <v>165</v>
      </c>
      <c r="K26" s="173">
        <v>0.6</v>
      </c>
      <c r="L26" s="173">
        <v>1</v>
      </c>
      <c r="M26" s="173">
        <v>0.1</v>
      </c>
      <c r="N26" s="173">
        <v>0.7</v>
      </c>
      <c r="O26" s="173">
        <v>59.354999999999997</v>
      </c>
      <c r="P26" s="173">
        <v>67800</v>
      </c>
      <c r="Q26" s="173" t="s">
        <v>165</v>
      </c>
      <c r="R26" s="173" t="s">
        <v>165</v>
      </c>
      <c r="S26" s="173" t="s">
        <v>165</v>
      </c>
      <c r="T26" s="173" t="s">
        <v>165</v>
      </c>
      <c r="U26" s="173" t="s">
        <v>165</v>
      </c>
      <c r="V26" s="1287" t="s">
        <v>442</v>
      </c>
      <c r="W26" s="1287">
        <v>3119</v>
      </c>
      <c r="X26" s="175">
        <v>0.85</v>
      </c>
      <c r="Y26" s="175">
        <f>ROUND((D26*E26*F26*H26*I26*K26*L26*M26*O26*1000000*N26/3600)*(1-X26),4)</f>
        <v>4.07E-2</v>
      </c>
      <c r="Z26" s="175">
        <f>ROUND((D26*E26*G26*H26*I26*K26*L26*M26*N26*P26)*(1-X26),4)</f>
        <v>0.14349999999999999</v>
      </c>
      <c r="AA26" s="353"/>
    </row>
    <row r="27" spans="1:28" ht="24" x14ac:dyDescent="0.25">
      <c r="A27" s="1063"/>
      <c r="B27" s="171" t="s">
        <v>400</v>
      </c>
      <c r="C27" s="172" t="s">
        <v>399</v>
      </c>
      <c r="D27" s="173">
        <v>0.04</v>
      </c>
      <c r="E27" s="173">
        <v>0.02</v>
      </c>
      <c r="F27" s="174">
        <v>1.4</v>
      </c>
      <c r="G27" s="174">
        <v>1.2</v>
      </c>
      <c r="H27" s="173">
        <v>0.5</v>
      </c>
      <c r="I27" s="173">
        <v>0.7</v>
      </c>
      <c r="J27" s="173" t="s">
        <v>165</v>
      </c>
      <c r="K27" s="173">
        <v>0.6</v>
      </c>
      <c r="L27" s="173">
        <v>1</v>
      </c>
      <c r="M27" s="173">
        <v>0.2</v>
      </c>
      <c r="N27" s="173">
        <v>0.4</v>
      </c>
      <c r="O27" s="173">
        <v>59.354999999999997</v>
      </c>
      <c r="P27" s="173">
        <v>67800</v>
      </c>
      <c r="Q27" s="173" t="s">
        <v>165</v>
      </c>
      <c r="R27" s="173" t="s">
        <v>165</v>
      </c>
      <c r="S27" s="173" t="s">
        <v>165</v>
      </c>
      <c r="T27" s="173" t="s">
        <v>165</v>
      </c>
      <c r="U27" s="173" t="s">
        <v>165</v>
      </c>
      <c r="V27" s="1063"/>
      <c r="W27" s="1063"/>
      <c r="X27" s="173">
        <v>0.85</v>
      </c>
      <c r="Y27" s="173">
        <f>ROUND((D27*E27*F27*H27*I27*L27*M27*K27*O27*1000000*N27/3600)*(1-X27),4)</f>
        <v>4.65E-2</v>
      </c>
      <c r="Z27" s="173">
        <f>ROUND((D27*E27*G27*H27*I27*K27*L27*M27*N27*P27)*(1-X27),4)</f>
        <v>0.16400000000000001</v>
      </c>
      <c r="AA27" s="353"/>
    </row>
    <row r="28" spans="1:28" x14ac:dyDescent="0.25">
      <c r="A28" s="1063"/>
      <c r="B28" s="171" t="s">
        <v>396</v>
      </c>
      <c r="C28" s="172" t="s">
        <v>399</v>
      </c>
      <c r="D28" s="173" t="s">
        <v>165</v>
      </c>
      <c r="E28" s="173" t="s">
        <v>165</v>
      </c>
      <c r="F28" s="174">
        <v>1.4</v>
      </c>
      <c r="G28" s="174" t="s">
        <v>165</v>
      </c>
      <c r="H28" s="173">
        <v>0.5</v>
      </c>
      <c r="I28" s="173">
        <v>0.7</v>
      </c>
      <c r="J28" s="173">
        <v>1.3</v>
      </c>
      <c r="K28" s="173">
        <v>0.6</v>
      </c>
      <c r="L28" s="173" t="s">
        <v>165</v>
      </c>
      <c r="M28" s="173" t="s">
        <v>165</v>
      </c>
      <c r="N28" s="173" t="s">
        <v>165</v>
      </c>
      <c r="O28" s="173" t="s">
        <v>165</v>
      </c>
      <c r="P28" s="173" t="s">
        <v>165</v>
      </c>
      <c r="Q28" s="173">
        <v>3.0000000000000001E-3</v>
      </c>
      <c r="R28" s="173">
        <v>885</v>
      </c>
      <c r="S28" s="173">
        <v>24</v>
      </c>
      <c r="T28" s="173">
        <v>144</v>
      </c>
      <c r="U28" s="173">
        <v>129</v>
      </c>
      <c r="V28" s="1063"/>
      <c r="W28" s="1063"/>
      <c r="X28" s="173">
        <v>0.85</v>
      </c>
      <c r="Y28" s="173">
        <f>ROUND((F28*H28*I28*J28*K28*Q28*R28)*(1-X28),4)</f>
        <v>0.1522</v>
      </c>
      <c r="Z28" s="173">
        <f>ROUND((((Y28*S28*(365-U28-T28)*3600)/1000000)),4)</f>
        <v>1.2098</v>
      </c>
      <c r="AA28" s="353"/>
    </row>
    <row r="29" spans="1:28" ht="24" x14ac:dyDescent="0.25">
      <c r="A29" s="1062"/>
      <c r="B29" s="171" t="s">
        <v>764</v>
      </c>
      <c r="C29" s="172" t="s">
        <v>399</v>
      </c>
      <c r="D29" s="173">
        <v>0.04</v>
      </c>
      <c r="E29" s="173">
        <v>0.02</v>
      </c>
      <c r="F29" s="174">
        <v>1.4</v>
      </c>
      <c r="G29" s="174">
        <v>1.2</v>
      </c>
      <c r="H29" s="173">
        <v>0.5</v>
      </c>
      <c r="I29" s="173">
        <v>0.7</v>
      </c>
      <c r="J29" s="173" t="s">
        <v>165</v>
      </c>
      <c r="K29" s="173">
        <v>0.6</v>
      </c>
      <c r="L29" s="173">
        <v>1</v>
      </c>
      <c r="M29" s="173">
        <v>0.2</v>
      </c>
      <c r="N29" s="173">
        <v>0.4</v>
      </c>
      <c r="O29" s="173">
        <v>9.11</v>
      </c>
      <c r="P29" s="173">
        <v>67800</v>
      </c>
      <c r="Q29" s="173" t="s">
        <v>165</v>
      </c>
      <c r="R29" s="173" t="s">
        <v>165</v>
      </c>
      <c r="S29" s="173" t="s">
        <v>165</v>
      </c>
      <c r="T29" s="173" t="s">
        <v>165</v>
      </c>
      <c r="U29" s="173" t="s">
        <v>165</v>
      </c>
      <c r="V29" s="1062"/>
      <c r="W29" s="1062"/>
      <c r="X29" s="173">
        <v>0.85</v>
      </c>
      <c r="Y29" s="173">
        <f>ROUND((D29*E29*F29*H29*I29*L29*M29*K29*O29*1000000*N29/3600)*(1-X29),4)</f>
        <v>7.1000000000000004E-3</v>
      </c>
      <c r="Z29" s="173">
        <f>ROUND((D29*E29*G29*H29*I29*K29*L29*M29*N29*P29)*(1-X29),4)</f>
        <v>0.16400000000000001</v>
      </c>
      <c r="AA29" s="353"/>
    </row>
    <row r="30" spans="1:28" ht="24" x14ac:dyDescent="0.25">
      <c r="A30" s="1279" t="s">
        <v>766</v>
      </c>
      <c r="B30" s="1280"/>
      <c r="C30" s="1280"/>
      <c r="D30" s="1280"/>
      <c r="E30" s="1280"/>
      <c r="F30" s="1280"/>
      <c r="G30" s="1280"/>
      <c r="H30" s="1280"/>
      <c r="I30" s="1280"/>
      <c r="J30" s="1280"/>
      <c r="K30" s="1280"/>
      <c r="L30" s="1280"/>
      <c r="M30" s="1280"/>
      <c r="N30" s="1280"/>
      <c r="O30" s="1280"/>
      <c r="P30" s="1280"/>
      <c r="Q30" s="1280"/>
      <c r="R30" s="1280"/>
      <c r="S30" s="1280"/>
      <c r="T30" s="1280"/>
      <c r="U30" s="1280"/>
      <c r="V30" s="176" t="s">
        <v>442</v>
      </c>
      <c r="W30" s="176">
        <v>3119</v>
      </c>
      <c r="X30" s="176"/>
      <c r="Y30" s="176">
        <f>Y26+Y27+Y28+Y29</f>
        <v>0.2465</v>
      </c>
      <c r="Z30" s="176">
        <f>SUM(Z26:Z29)</f>
        <v>1.6813</v>
      </c>
      <c r="AA30" s="913">
        <f>Y30</f>
        <v>0.2465</v>
      </c>
      <c r="AB30" s="913">
        <f>Z30</f>
        <v>1.6813</v>
      </c>
    </row>
    <row r="31" spans="1:28" x14ac:dyDescent="0.25">
      <c r="AA31" s="865">
        <f>SUM(AA24:AA30)</f>
        <v>0.49299999999999999</v>
      </c>
      <c r="AB31" s="865">
        <f>SUM(AB24:AB30)</f>
        <v>3.3626</v>
      </c>
    </row>
  </sheetData>
  <mergeCells count="29">
    <mergeCell ref="A1:Y1"/>
    <mergeCell ref="A25:Z25"/>
    <mergeCell ref="A26:A29"/>
    <mergeCell ref="V26:V29"/>
    <mergeCell ref="W26:W29"/>
    <mergeCell ref="V7:V10"/>
    <mergeCell ref="W7:W10"/>
    <mergeCell ref="A11:U11"/>
    <mergeCell ref="A12:Z12"/>
    <mergeCell ref="A13:A16"/>
    <mergeCell ref="V13:V16"/>
    <mergeCell ref="W13:W16"/>
    <mergeCell ref="A17:U17"/>
    <mergeCell ref="A30:U30"/>
    <mergeCell ref="W2:W3"/>
    <mergeCell ref="Y2:Z2"/>
    <mergeCell ref="A24:U24"/>
    <mergeCell ref="A2:A3"/>
    <mergeCell ref="B2:B3"/>
    <mergeCell ref="C2:C3"/>
    <mergeCell ref="V2:V3"/>
    <mergeCell ref="A18:Z18"/>
    <mergeCell ref="A19:Z19"/>
    <mergeCell ref="A20:A23"/>
    <mergeCell ref="V20:V23"/>
    <mergeCell ref="W20:W23"/>
    <mergeCell ref="A5:Z5"/>
    <mergeCell ref="A6:Z6"/>
    <mergeCell ref="A7:A10"/>
  </mergeCells>
  <pageMargins left="0.31496062992125984" right="0.31496062992125984" top="0.78740157480314965" bottom="0.39370078740157483" header="0.31496062992125984" footer="0.19685039370078741"/>
  <pageSetup paperSize="9" firstPageNumber="41" orientation="landscape" useFirstPageNumber="1" r:id="rId1"/>
  <headerFoot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42"/>
  <sheetViews>
    <sheetView view="pageBreakPreview" topLeftCell="A10" zoomScale="85" zoomScaleNormal="100" zoomScaleSheetLayoutView="85" workbookViewId="0">
      <selection activeCell="Q34" sqref="Q34:T39"/>
    </sheetView>
  </sheetViews>
  <sheetFormatPr defaultRowHeight="12.75" x14ac:dyDescent="0.2"/>
  <cols>
    <col min="1" max="1" width="6.28515625" style="441" customWidth="1"/>
    <col min="2" max="2" width="12.7109375" style="441" customWidth="1"/>
    <col min="3" max="3" width="11.85546875" style="441" customWidth="1"/>
    <col min="4" max="4" width="9.5703125" style="441" customWidth="1"/>
    <col min="5" max="5" width="5.7109375" style="441" customWidth="1"/>
    <col min="6" max="6" width="11" style="611" customWidth="1"/>
    <col min="7" max="7" width="10.28515625" style="611" customWidth="1"/>
    <col min="8" max="8" width="8" style="611" customWidth="1"/>
    <col min="9" max="9" width="9" style="611" customWidth="1"/>
    <col min="10" max="10" width="9.85546875" style="611" customWidth="1"/>
    <col min="11" max="11" width="17.42578125" style="419" customWidth="1"/>
    <col min="12" max="12" width="6.28515625" style="61" customWidth="1"/>
    <col min="13" max="13" width="10.85546875" style="61" customWidth="1"/>
    <col min="14" max="14" width="12" style="61" customWidth="1"/>
    <col min="15" max="15" width="10.42578125" style="441" bestFit="1" customWidth="1"/>
    <col min="16" max="16" width="10.5703125" style="441" customWidth="1"/>
    <col min="17" max="17" width="11.28515625" style="441" bestFit="1" customWidth="1"/>
    <col min="18" max="16384" width="9.140625" style="441"/>
  </cols>
  <sheetData>
    <row r="1" spans="1:14" s="61" customFormat="1" ht="18.75" x14ac:dyDescent="0.3">
      <c r="A1" s="974" t="s">
        <v>1476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974"/>
      <c r="M1" s="974"/>
      <c r="N1" s="497"/>
    </row>
    <row r="2" spans="1:14" s="61" customFormat="1" ht="9.75" customHeight="1" x14ac:dyDescent="0.2">
      <c r="A2" s="496"/>
      <c r="B2" s="496"/>
      <c r="C2" s="496"/>
      <c r="D2" s="496"/>
      <c r="E2" s="496"/>
      <c r="F2" s="591"/>
      <c r="G2" s="591"/>
      <c r="H2" s="591"/>
      <c r="I2" s="591"/>
      <c r="J2" s="591"/>
      <c r="K2" s="591"/>
      <c r="L2" s="497"/>
      <c r="M2" s="497"/>
      <c r="N2" s="497"/>
    </row>
    <row r="3" spans="1:14" s="184" customFormat="1" ht="15.75" x14ac:dyDescent="0.25">
      <c r="A3" s="278" t="s">
        <v>1454</v>
      </c>
      <c r="B3" s="278"/>
      <c r="C3" s="278"/>
      <c r="D3" s="278"/>
      <c r="E3" s="278"/>
      <c r="F3" s="420"/>
      <c r="G3" s="420"/>
      <c r="H3" s="420"/>
      <c r="I3" s="420"/>
      <c r="J3" s="420"/>
      <c r="K3" s="420"/>
      <c r="L3" s="278"/>
      <c r="M3" s="278"/>
      <c r="N3" s="278"/>
    </row>
    <row r="4" spans="1:14" s="184" customFormat="1" ht="15.75" x14ac:dyDescent="0.25">
      <c r="A4" s="1278" t="s">
        <v>1455</v>
      </c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278"/>
      <c r="M4" s="1278"/>
      <c r="N4" s="1278"/>
    </row>
    <row r="5" spans="1:14" s="61" customFormat="1" ht="6.75" customHeight="1" x14ac:dyDescent="0.2">
      <c r="A5" s="592"/>
      <c r="B5" s="592"/>
      <c r="C5" s="592"/>
      <c r="D5" s="592"/>
      <c r="E5" s="592"/>
      <c r="F5" s="593"/>
      <c r="G5" s="593"/>
      <c r="H5" s="593"/>
      <c r="I5" s="593"/>
      <c r="J5" s="593"/>
      <c r="K5" s="593"/>
      <c r="L5" s="592"/>
      <c r="M5" s="592"/>
      <c r="N5" s="592"/>
    </row>
    <row r="6" spans="1:14" s="184" customFormat="1" ht="15.75" x14ac:dyDescent="0.25">
      <c r="A6" s="1288" t="s">
        <v>1456</v>
      </c>
      <c r="B6" s="1288"/>
      <c r="C6" s="1288"/>
      <c r="D6" s="1288"/>
      <c r="E6" s="1288"/>
      <c r="F6" s="1288"/>
      <c r="G6" s="1288"/>
      <c r="H6" s="1288"/>
      <c r="I6" s="1288"/>
      <c r="J6" s="1288"/>
      <c r="K6" s="273"/>
    </row>
    <row r="7" spans="1:14" s="184" customFormat="1" ht="13.5" customHeight="1" x14ac:dyDescent="0.25">
      <c r="A7" s="721"/>
      <c r="B7" s="721"/>
      <c r="C7" s="721"/>
      <c r="D7" s="721"/>
      <c r="E7" s="721"/>
      <c r="F7" s="274"/>
      <c r="G7" s="274"/>
      <c r="H7" s="274"/>
      <c r="I7" s="274"/>
      <c r="J7" s="274"/>
      <c r="K7" s="273"/>
    </row>
    <row r="8" spans="1:14" s="184" customFormat="1" ht="15.75" x14ac:dyDescent="0.25">
      <c r="A8" s="977" t="s">
        <v>1457</v>
      </c>
      <c r="B8" s="977"/>
      <c r="C8" s="977"/>
      <c r="D8" s="977"/>
      <c r="E8" s="977"/>
      <c r="F8" s="977"/>
      <c r="G8" s="977"/>
      <c r="H8" s="977"/>
      <c r="I8" s="977"/>
      <c r="J8" s="977"/>
      <c r="K8" s="273"/>
    </row>
    <row r="9" spans="1:14" s="184" customFormat="1" ht="14.25" customHeight="1" x14ac:dyDescent="0.25">
      <c r="A9" s="277"/>
      <c r="B9" s="277"/>
      <c r="C9" s="277"/>
      <c r="D9" s="277"/>
      <c r="E9" s="277"/>
      <c r="F9" s="277"/>
      <c r="G9" s="277"/>
      <c r="H9" s="277"/>
      <c r="I9" s="277"/>
      <c r="J9" s="277"/>
      <c r="K9" s="273"/>
    </row>
    <row r="10" spans="1:14" s="184" customFormat="1" ht="15.75" x14ac:dyDescent="0.25">
      <c r="A10" s="977" t="s">
        <v>1458</v>
      </c>
      <c r="B10" s="977"/>
      <c r="C10" s="977"/>
      <c r="D10" s="977"/>
      <c r="E10" s="977"/>
      <c r="F10" s="977"/>
      <c r="G10" s="977"/>
      <c r="H10" s="977"/>
      <c r="I10" s="977"/>
      <c r="J10" s="977"/>
      <c r="K10" s="273"/>
    </row>
    <row r="11" spans="1:14" s="184" customFormat="1" ht="15.75" x14ac:dyDescent="0.25">
      <c r="A11" s="721" t="s">
        <v>884</v>
      </c>
      <c r="B11" s="721"/>
      <c r="C11" s="721"/>
      <c r="D11" s="721"/>
      <c r="E11" s="721"/>
      <c r="F11" s="274"/>
      <c r="G11" s="274"/>
      <c r="H11" s="274"/>
      <c r="I11" s="274"/>
      <c r="J11" s="274"/>
      <c r="K11" s="273"/>
    </row>
    <row r="12" spans="1:14" s="184" customFormat="1" ht="31.5" customHeight="1" x14ac:dyDescent="0.25">
      <c r="A12" s="1278" t="s">
        <v>1499</v>
      </c>
      <c r="B12" s="1278"/>
      <c r="C12" s="1278"/>
      <c r="D12" s="1278"/>
      <c r="E12" s="1278"/>
      <c r="F12" s="1278"/>
      <c r="G12" s="1278"/>
      <c r="H12" s="1278"/>
      <c r="I12" s="1278"/>
      <c r="J12" s="1278"/>
      <c r="K12" s="1278"/>
      <c r="L12" s="1278"/>
      <c r="M12" s="1278"/>
      <c r="N12" s="1278"/>
    </row>
    <row r="13" spans="1:14" s="184" customFormat="1" ht="12.75" customHeight="1" x14ac:dyDescent="0.25">
      <c r="A13" s="1288" t="s">
        <v>1459</v>
      </c>
      <c r="B13" s="1288"/>
      <c r="C13" s="1288"/>
      <c r="D13" s="1288"/>
      <c r="E13" s="1288"/>
      <c r="F13" s="1288"/>
      <c r="G13" s="1288"/>
      <c r="H13" s="1288"/>
      <c r="I13" s="1288"/>
      <c r="J13" s="1288"/>
      <c r="K13" s="273"/>
    </row>
    <row r="14" spans="1:14" s="184" customFormat="1" ht="13.5" customHeight="1" x14ac:dyDescent="0.25">
      <c r="A14" s="1288" t="s">
        <v>1500</v>
      </c>
      <c r="B14" s="1288"/>
      <c r="C14" s="1288"/>
      <c r="D14" s="1288"/>
      <c r="E14" s="1288"/>
      <c r="F14" s="1288"/>
      <c r="G14" s="1288"/>
      <c r="H14" s="1288"/>
      <c r="I14" s="1288"/>
      <c r="J14" s="1288"/>
      <c r="K14" s="273"/>
    </row>
    <row r="15" spans="1:14" s="184" customFormat="1" ht="13.5" customHeight="1" x14ac:dyDescent="0.25">
      <c r="A15" s="1288" t="s">
        <v>1460</v>
      </c>
      <c r="B15" s="1288"/>
      <c r="C15" s="1288"/>
      <c r="D15" s="1288"/>
      <c r="E15" s="1288"/>
      <c r="F15" s="1288"/>
      <c r="G15" s="1288"/>
      <c r="H15" s="1288"/>
      <c r="I15" s="1288"/>
      <c r="J15" s="1288"/>
      <c r="K15" s="273"/>
    </row>
    <row r="16" spans="1:14" s="613" customFormat="1" ht="13.5" customHeight="1" x14ac:dyDescent="0.35">
      <c r="A16" s="613" t="s">
        <v>1501</v>
      </c>
      <c r="C16" s="614"/>
      <c r="D16" s="614"/>
      <c r="E16" s="614"/>
      <c r="F16" s="615"/>
      <c r="G16" s="273"/>
      <c r="H16" s="273"/>
      <c r="I16" s="273"/>
      <c r="J16" s="273"/>
      <c r="K16" s="273"/>
    </row>
    <row r="17" spans="1:20" s="613" customFormat="1" ht="12" customHeight="1" x14ac:dyDescent="0.25">
      <c r="C17" s="614"/>
      <c r="D17" s="614"/>
      <c r="E17" s="614"/>
      <c r="F17" s="615"/>
      <c r="G17" s="273"/>
      <c r="H17" s="273"/>
      <c r="I17" s="273"/>
      <c r="J17" s="273"/>
      <c r="K17" s="273"/>
    </row>
    <row r="18" spans="1:20" s="722" customFormat="1" ht="20.25" customHeight="1" x14ac:dyDescent="0.3">
      <c r="A18" s="1275" t="s">
        <v>1502</v>
      </c>
      <c r="B18" s="1275"/>
      <c r="C18" s="1275"/>
      <c r="D18" s="1275"/>
      <c r="E18" s="1275"/>
      <c r="F18" s="1275"/>
      <c r="G18" s="1275"/>
      <c r="H18" s="1275"/>
      <c r="I18" s="1275"/>
      <c r="J18" s="1275"/>
      <c r="K18" s="1275"/>
      <c r="L18" s="1275"/>
      <c r="M18" s="1275"/>
      <c r="N18" s="1275"/>
    </row>
    <row r="19" spans="1:20" s="507" customFormat="1" ht="15" customHeight="1" x14ac:dyDescent="0.2">
      <c r="C19" s="594"/>
      <c r="D19" s="594"/>
      <c r="E19" s="594"/>
      <c r="F19" s="595"/>
      <c r="G19" s="419"/>
      <c r="H19" s="419"/>
      <c r="I19" s="419"/>
      <c r="J19" s="419"/>
      <c r="K19" s="419"/>
    </row>
    <row r="20" spans="1:20" s="613" customFormat="1" ht="15.75" x14ac:dyDescent="0.25">
      <c r="A20" s="613" t="s">
        <v>1477</v>
      </c>
      <c r="C20" s="614"/>
      <c r="D20" s="614"/>
      <c r="E20" s="614"/>
      <c r="F20" s="615"/>
      <c r="G20" s="273"/>
      <c r="H20" s="273"/>
      <c r="I20" s="273"/>
      <c r="J20" s="273"/>
      <c r="K20" s="273"/>
    </row>
    <row r="21" spans="1:20" s="287" customFormat="1" ht="17.25" customHeight="1" x14ac:dyDescent="0.25">
      <c r="A21" s="1085" t="s">
        <v>159</v>
      </c>
      <c r="B21" s="1085" t="s">
        <v>1461</v>
      </c>
      <c r="C21" s="1085" t="s">
        <v>1462</v>
      </c>
      <c r="D21" s="1085" t="s">
        <v>1463</v>
      </c>
      <c r="E21" s="1297" t="s">
        <v>1464</v>
      </c>
      <c r="F21" s="1298"/>
      <c r="G21" s="1292" t="s">
        <v>1465</v>
      </c>
      <c r="H21" s="1292" t="s">
        <v>1466</v>
      </c>
      <c r="I21" s="1294" t="s">
        <v>1467</v>
      </c>
      <c r="J21" s="1295"/>
      <c r="K21" s="596" t="s">
        <v>773</v>
      </c>
      <c r="L21" s="1085" t="s">
        <v>21</v>
      </c>
      <c r="M21" s="1297" t="s">
        <v>1468</v>
      </c>
      <c r="N21" s="1298"/>
    </row>
    <row r="22" spans="1:20" s="287" customFormat="1" ht="38.25" customHeight="1" x14ac:dyDescent="0.25">
      <c r="A22" s="1296"/>
      <c r="B22" s="1296"/>
      <c r="C22" s="1296"/>
      <c r="D22" s="1296"/>
      <c r="E22" s="588" t="s">
        <v>1469</v>
      </c>
      <c r="F22" s="596" t="s">
        <v>1470</v>
      </c>
      <c r="G22" s="1293"/>
      <c r="H22" s="1293"/>
      <c r="I22" s="596" t="s">
        <v>1471</v>
      </c>
      <c r="J22" s="596" t="s">
        <v>1472</v>
      </c>
      <c r="K22" s="597"/>
      <c r="L22" s="1296"/>
      <c r="M22" s="588" t="s">
        <v>22</v>
      </c>
      <c r="N22" s="588" t="s">
        <v>23</v>
      </c>
      <c r="O22" s="598"/>
    </row>
    <row r="23" spans="1:20" s="287" customFormat="1" ht="15.95" customHeight="1" x14ac:dyDescent="0.2">
      <c r="A23" s="25">
        <v>1</v>
      </c>
      <c r="B23" s="25">
        <v>2</v>
      </c>
      <c r="C23" s="25">
        <v>3</v>
      </c>
      <c r="D23" s="25">
        <v>4</v>
      </c>
      <c r="E23" s="25">
        <v>5</v>
      </c>
      <c r="F23" s="52">
        <v>6</v>
      </c>
      <c r="G23" s="52">
        <v>7</v>
      </c>
      <c r="H23" s="52">
        <v>8</v>
      </c>
      <c r="I23" s="52">
        <v>9</v>
      </c>
      <c r="J23" s="52">
        <v>10</v>
      </c>
      <c r="K23" s="52">
        <v>11</v>
      </c>
      <c r="L23" s="25">
        <v>12</v>
      </c>
      <c r="M23" s="25">
        <v>13</v>
      </c>
      <c r="N23" s="25">
        <v>14</v>
      </c>
      <c r="O23" s="599"/>
    </row>
    <row r="24" spans="1:20" s="287" customFormat="1" ht="15.95" customHeight="1" x14ac:dyDescent="0.2">
      <c r="A24" s="1289" t="s">
        <v>1153</v>
      </c>
      <c r="B24" s="1290"/>
      <c r="C24" s="1290"/>
      <c r="D24" s="1290"/>
      <c r="E24" s="1290"/>
      <c r="F24" s="1290"/>
      <c r="G24" s="1290"/>
      <c r="H24" s="1290"/>
      <c r="I24" s="1290"/>
      <c r="J24" s="1290"/>
      <c r="K24" s="1290"/>
      <c r="L24" s="1290"/>
      <c r="M24" s="1290"/>
      <c r="N24" s="1291"/>
      <c r="O24" s="599"/>
    </row>
    <row r="25" spans="1:20" s="287" customFormat="1" ht="15.95" customHeight="1" x14ac:dyDescent="0.25">
      <c r="A25" s="41" t="s">
        <v>963</v>
      </c>
      <c r="B25" s="28" t="s">
        <v>1478</v>
      </c>
      <c r="C25" s="589" t="s">
        <v>774</v>
      </c>
      <c r="D25" s="589" t="s">
        <v>197</v>
      </c>
      <c r="E25" s="589">
        <v>1</v>
      </c>
      <c r="F25" s="589">
        <v>1</v>
      </c>
      <c r="G25" s="589">
        <v>40</v>
      </c>
      <c r="H25" s="589">
        <v>1.6E-2</v>
      </c>
      <c r="I25" s="52">
        <v>7.2</v>
      </c>
      <c r="J25" s="52">
        <v>30</v>
      </c>
      <c r="K25" s="711" t="s">
        <v>65</v>
      </c>
      <c r="L25" s="161" t="s">
        <v>66</v>
      </c>
      <c r="M25" s="25">
        <f>ROUND((F25*(I25*G25/3600)),4)</f>
        <v>0.08</v>
      </c>
      <c r="N25" s="25">
        <f>ROUND((E25*(J25*H25/1000)),4)</f>
        <v>5.0000000000000001E-4</v>
      </c>
      <c r="O25" s="599"/>
      <c r="Q25" s="87"/>
      <c r="R25" s="87"/>
      <c r="S25" s="87"/>
      <c r="T25" s="87"/>
    </row>
    <row r="26" spans="1:20" s="61" customFormat="1" ht="15.95" customHeight="1" x14ac:dyDescent="0.25">
      <c r="A26" s="603"/>
      <c r="B26" s="179" t="s">
        <v>780</v>
      </c>
      <c r="C26" s="7"/>
      <c r="D26" s="7"/>
      <c r="E26" s="7"/>
      <c r="F26" s="604"/>
      <c r="G26" s="604"/>
      <c r="H26" s="604"/>
      <c r="I26" s="604">
        <v>10.3</v>
      </c>
      <c r="J26" s="604">
        <v>43</v>
      </c>
      <c r="K26" s="605" t="s">
        <v>48</v>
      </c>
      <c r="L26" s="177" t="s">
        <v>49</v>
      </c>
      <c r="M26" s="26">
        <f>ROUND(((F25*(I26*G25/3600))*0.8),4)</f>
        <v>9.1600000000000001E-2</v>
      </c>
      <c r="N26" s="26">
        <f>ROUND(((E25*(J26*H25/1000))*0.8),4)</f>
        <v>5.9999999999999995E-4</v>
      </c>
      <c r="O26" s="599"/>
      <c r="Q26"/>
      <c r="R26"/>
      <c r="S26"/>
      <c r="T26"/>
    </row>
    <row r="27" spans="1:20" s="61" customFormat="1" ht="15.95" customHeight="1" x14ac:dyDescent="0.25">
      <c r="A27" s="7"/>
      <c r="B27" s="180" t="s">
        <v>964</v>
      </c>
      <c r="C27" s="7"/>
      <c r="D27" s="7"/>
      <c r="E27" s="7"/>
      <c r="F27" s="604"/>
      <c r="G27" s="604"/>
      <c r="H27" s="604"/>
      <c r="I27" s="604"/>
      <c r="J27" s="604"/>
      <c r="K27" s="605" t="s">
        <v>51</v>
      </c>
      <c r="L27" s="177" t="s">
        <v>52</v>
      </c>
      <c r="M27" s="26">
        <f>ROUND(((F25*(I26*G25/3600))*0.13),4)</f>
        <v>1.49E-2</v>
      </c>
      <c r="N27" s="26">
        <f>ROUND(((E25*(J26*H25/1000))*0.13),4)</f>
        <v>1E-4</v>
      </c>
      <c r="O27" s="599"/>
      <c r="Q27"/>
      <c r="R27"/>
      <c r="S27"/>
      <c r="T27"/>
    </row>
    <row r="28" spans="1:20" s="61" customFormat="1" ht="15.95" customHeight="1" x14ac:dyDescent="0.25">
      <c r="A28" s="7"/>
      <c r="B28" s="179" t="s">
        <v>781</v>
      </c>
      <c r="C28" s="7"/>
      <c r="D28" s="7"/>
      <c r="E28" s="7"/>
      <c r="F28" s="604"/>
      <c r="G28" s="604"/>
      <c r="H28" s="604"/>
      <c r="I28" s="53">
        <v>3.6</v>
      </c>
      <c r="J28" s="53">
        <v>15</v>
      </c>
      <c r="K28" s="606" t="s">
        <v>777</v>
      </c>
      <c r="L28" s="607">
        <v>2754</v>
      </c>
      <c r="M28" s="26">
        <f>ROUND((F25*(I28*G25/3600)),4)</f>
        <v>0.04</v>
      </c>
      <c r="N28" s="26">
        <f>ROUND(((E25*(J28*H25/1000))),4)</f>
        <v>2.0000000000000001E-4</v>
      </c>
      <c r="O28" s="599"/>
      <c r="Q28"/>
      <c r="R28"/>
      <c r="S28"/>
      <c r="T28"/>
    </row>
    <row r="29" spans="1:20" s="61" customFormat="1" ht="15.95" customHeight="1" x14ac:dyDescent="0.25">
      <c r="A29" s="7"/>
      <c r="B29" s="7"/>
      <c r="C29" s="7"/>
      <c r="D29" s="7"/>
      <c r="E29" s="7"/>
      <c r="F29" s="604"/>
      <c r="G29" s="604"/>
      <c r="H29" s="604"/>
      <c r="I29" s="53">
        <v>0.7</v>
      </c>
      <c r="J29" s="53">
        <v>3</v>
      </c>
      <c r="K29" s="608" t="s">
        <v>1473</v>
      </c>
      <c r="L29" s="607" t="s">
        <v>62</v>
      </c>
      <c r="M29" s="26">
        <f>ROUND((F25*(I29*G25/3600)),4)</f>
        <v>7.7999999999999996E-3</v>
      </c>
      <c r="N29" s="26">
        <f>ROUND(((E25*(J29*H25/1000))),5)</f>
        <v>5.0000000000000002E-5</v>
      </c>
      <c r="O29" s="599"/>
      <c r="Q29"/>
      <c r="R29"/>
      <c r="S29"/>
      <c r="T29"/>
    </row>
    <row r="30" spans="1:20" s="61" customFormat="1" ht="15.95" customHeight="1" x14ac:dyDescent="0.25">
      <c r="A30" s="7"/>
      <c r="B30" s="7"/>
      <c r="C30" s="7"/>
      <c r="D30" s="7"/>
      <c r="E30" s="7"/>
      <c r="F30" s="604"/>
      <c r="G30" s="604"/>
      <c r="H30" s="604"/>
      <c r="I30" s="53">
        <v>1.1000000000000001</v>
      </c>
      <c r="J30" s="53">
        <v>4.5</v>
      </c>
      <c r="K30" s="608" t="s">
        <v>776</v>
      </c>
      <c r="L30" s="607" t="s">
        <v>57</v>
      </c>
      <c r="M30" s="26">
        <f>ROUND((F25*(I30*G25/3600)),4)</f>
        <v>1.2200000000000001E-2</v>
      </c>
      <c r="N30" s="26">
        <f>ROUND(((E25*(J30*H25/1000))),4)</f>
        <v>1E-4</v>
      </c>
      <c r="O30" s="31"/>
      <c r="Q30"/>
      <c r="R30"/>
      <c r="S30"/>
      <c r="T30"/>
    </row>
    <row r="31" spans="1:20" s="61" customFormat="1" ht="15.95" customHeight="1" x14ac:dyDescent="0.2">
      <c r="A31" s="7"/>
      <c r="B31" s="7"/>
      <c r="C31" s="7"/>
      <c r="D31" s="7"/>
      <c r="E31" s="7"/>
      <c r="F31" s="604"/>
      <c r="G31" s="604"/>
      <c r="H31" s="604"/>
      <c r="I31" s="609">
        <v>0.15</v>
      </c>
      <c r="J31" s="609">
        <v>0.6</v>
      </c>
      <c r="K31" s="608" t="s">
        <v>778</v>
      </c>
      <c r="L31" s="607" t="s">
        <v>779</v>
      </c>
      <c r="M31" s="26">
        <f>ROUND((F25*(I31*G25/3600)),4)</f>
        <v>1.6999999999999999E-3</v>
      </c>
      <c r="N31" s="26">
        <f>ROUND(((E25*(J31*H25/1000))),5)</f>
        <v>1.0000000000000001E-5</v>
      </c>
    </row>
    <row r="32" spans="1:20" s="61" customFormat="1" ht="15.95" customHeight="1" x14ac:dyDescent="0.2">
      <c r="A32" s="16"/>
      <c r="B32" s="16"/>
      <c r="C32" s="16"/>
      <c r="D32" s="610"/>
      <c r="E32" s="16"/>
      <c r="F32" s="118"/>
      <c r="G32" s="118"/>
      <c r="H32" s="118"/>
      <c r="I32" s="53">
        <v>1.2999999999999999E-5</v>
      </c>
      <c r="J32" s="53">
        <v>5.5000000000000002E-5</v>
      </c>
      <c r="K32" s="608" t="s">
        <v>1474</v>
      </c>
      <c r="L32" s="607" t="s">
        <v>1475</v>
      </c>
      <c r="M32" s="26">
        <f>ROUND((F25*(I32*G25/3600)),7)</f>
        <v>9.9999999999999995E-8</v>
      </c>
      <c r="N32" s="26">
        <f>ROUND(((E25*(J32*H25/1000))),9)</f>
        <v>1.0000000000000001E-9</v>
      </c>
      <c r="O32" s="61">
        <f>SUM(M25:M32)</f>
        <v>0.24820010000000001</v>
      </c>
      <c r="P32" s="61">
        <f>SUM(N25:N32)</f>
        <v>1.5600009999999999E-3</v>
      </c>
    </row>
    <row r="33" spans="1:20" s="287" customFormat="1" ht="15.95" customHeight="1" x14ac:dyDescent="0.2">
      <c r="A33" s="1289" t="s">
        <v>147</v>
      </c>
      <c r="B33" s="1290"/>
      <c r="C33" s="1290"/>
      <c r="D33" s="1290"/>
      <c r="E33" s="1290"/>
      <c r="F33" s="1290"/>
      <c r="G33" s="1290"/>
      <c r="H33" s="1290"/>
      <c r="I33" s="1290"/>
      <c r="J33" s="1290"/>
      <c r="K33" s="1290"/>
      <c r="L33" s="1290"/>
      <c r="M33" s="1290"/>
      <c r="N33" s="1291"/>
      <c r="O33" s="599"/>
    </row>
    <row r="34" spans="1:20" s="287" customFormat="1" ht="15.95" customHeight="1" x14ac:dyDescent="0.25">
      <c r="A34" s="600" t="s">
        <v>963</v>
      </c>
      <c r="B34" s="612" t="s">
        <v>1478</v>
      </c>
      <c r="C34" s="601" t="s">
        <v>774</v>
      </c>
      <c r="D34" s="601" t="s">
        <v>197</v>
      </c>
      <c r="E34" s="601">
        <v>1</v>
      </c>
      <c r="F34" s="601">
        <v>1</v>
      </c>
      <c r="G34" s="601">
        <v>40</v>
      </c>
      <c r="H34" s="601">
        <v>6.2E-2</v>
      </c>
      <c r="I34" s="590">
        <v>7.2</v>
      </c>
      <c r="J34" s="590">
        <v>30</v>
      </c>
      <c r="K34" s="602" t="s">
        <v>65</v>
      </c>
      <c r="L34" s="587" t="s">
        <v>66</v>
      </c>
      <c r="M34" s="43">
        <f>ROUND((F34*(I34*G34/3600)),4)</f>
        <v>0.08</v>
      </c>
      <c r="N34" s="43">
        <f>ROUND((E34*(J34*H34/1000)),4)</f>
        <v>1.9E-3</v>
      </c>
      <c r="O34" s="599"/>
      <c r="Q34" s="87"/>
      <c r="R34" s="87"/>
      <c r="S34" s="87"/>
      <c r="T34" s="87"/>
    </row>
    <row r="35" spans="1:20" s="61" customFormat="1" ht="15.95" customHeight="1" x14ac:dyDescent="0.25">
      <c r="A35" s="603"/>
      <c r="B35" s="179" t="s">
        <v>780</v>
      </c>
      <c r="C35" s="7"/>
      <c r="D35" s="7"/>
      <c r="E35" s="7"/>
      <c r="F35" s="604"/>
      <c r="G35" s="604"/>
      <c r="H35" s="604"/>
      <c r="I35" s="604">
        <v>10.3</v>
      </c>
      <c r="J35" s="604">
        <v>43</v>
      </c>
      <c r="K35" s="605" t="s">
        <v>48</v>
      </c>
      <c r="L35" s="177" t="s">
        <v>49</v>
      </c>
      <c r="M35" s="26">
        <f>ROUND(((F34*(I35*G34/3600))*0.8),4)</f>
        <v>9.1600000000000001E-2</v>
      </c>
      <c r="N35" s="26">
        <f>ROUND(((E34*(J35*H34/1000))*0.8),4)</f>
        <v>2.0999999999999999E-3</v>
      </c>
      <c r="O35" s="599"/>
      <c r="Q35"/>
      <c r="R35"/>
      <c r="S35"/>
      <c r="T35"/>
    </row>
    <row r="36" spans="1:20" s="61" customFormat="1" ht="15.95" customHeight="1" x14ac:dyDescent="0.25">
      <c r="A36" s="7"/>
      <c r="B36" s="180" t="s">
        <v>964</v>
      </c>
      <c r="C36" s="7"/>
      <c r="D36" s="7"/>
      <c r="E36" s="7"/>
      <c r="F36" s="604"/>
      <c r="G36" s="604"/>
      <c r="H36" s="604"/>
      <c r="I36" s="604"/>
      <c r="J36" s="604"/>
      <c r="K36" s="605" t="s">
        <v>51</v>
      </c>
      <c r="L36" s="177" t="s">
        <v>52</v>
      </c>
      <c r="M36" s="26">
        <f>ROUND(((F34*(I35*G34/3600))*0.13),4)</f>
        <v>1.49E-2</v>
      </c>
      <c r="N36" s="26">
        <f>ROUND(((E34*(J35*H34/1000))*0.13),4)</f>
        <v>2.9999999999999997E-4</v>
      </c>
      <c r="O36" s="599"/>
      <c r="Q36"/>
      <c r="R36"/>
      <c r="S36"/>
      <c r="T36"/>
    </row>
    <row r="37" spans="1:20" s="61" customFormat="1" ht="15.95" customHeight="1" x14ac:dyDescent="0.25">
      <c r="A37" s="7"/>
      <c r="B37" s="179" t="s">
        <v>781</v>
      </c>
      <c r="C37" s="7"/>
      <c r="D37" s="7"/>
      <c r="E37" s="7"/>
      <c r="F37" s="604"/>
      <c r="G37" s="604"/>
      <c r="H37" s="604"/>
      <c r="I37" s="53">
        <v>3.6</v>
      </c>
      <c r="J37" s="53">
        <v>15</v>
      </c>
      <c r="K37" s="606" t="s">
        <v>777</v>
      </c>
      <c r="L37" s="607">
        <v>2754</v>
      </c>
      <c r="M37" s="26">
        <f>ROUND((F34*(I37*G34/3600)),4)</f>
        <v>0.04</v>
      </c>
      <c r="N37" s="26">
        <f>ROUND(((E34*(J37*H34/1000))),4)</f>
        <v>8.9999999999999998E-4</v>
      </c>
      <c r="O37" s="599"/>
      <c r="Q37"/>
      <c r="R37"/>
      <c r="S37"/>
      <c r="T37"/>
    </row>
    <row r="38" spans="1:20" s="61" customFormat="1" ht="15.95" customHeight="1" x14ac:dyDescent="0.25">
      <c r="A38" s="7"/>
      <c r="B38" s="7"/>
      <c r="C38" s="7"/>
      <c r="D38" s="7"/>
      <c r="E38" s="7"/>
      <c r="F38" s="604"/>
      <c r="G38" s="604"/>
      <c r="H38" s="604"/>
      <c r="I38" s="53">
        <v>0.7</v>
      </c>
      <c r="J38" s="53">
        <v>3</v>
      </c>
      <c r="K38" s="608" t="s">
        <v>1473</v>
      </c>
      <c r="L38" s="607" t="s">
        <v>62</v>
      </c>
      <c r="M38" s="26">
        <f>ROUND((F34*(I38*G34/3600)),4)</f>
        <v>7.7999999999999996E-3</v>
      </c>
      <c r="N38" s="26">
        <f>ROUND(((E34*(J38*H34/1000))),4)</f>
        <v>2.0000000000000001E-4</v>
      </c>
      <c r="O38" s="599"/>
      <c r="Q38"/>
      <c r="R38"/>
      <c r="S38"/>
      <c r="T38"/>
    </row>
    <row r="39" spans="1:20" s="61" customFormat="1" ht="15.95" customHeight="1" x14ac:dyDescent="0.25">
      <c r="A39" s="7"/>
      <c r="B39" s="7"/>
      <c r="C39" s="7"/>
      <c r="D39" s="7"/>
      <c r="E39" s="7"/>
      <c r="F39" s="604"/>
      <c r="G39" s="604"/>
      <c r="H39" s="604"/>
      <c r="I39" s="53">
        <v>1.1000000000000001</v>
      </c>
      <c r="J39" s="53">
        <v>4.5</v>
      </c>
      <c r="K39" s="608" t="s">
        <v>776</v>
      </c>
      <c r="L39" s="607" t="s">
        <v>57</v>
      </c>
      <c r="M39" s="26">
        <f>ROUND((F34*(I39*G34/3600)),4)</f>
        <v>1.2200000000000001E-2</v>
      </c>
      <c r="N39" s="26">
        <f>ROUND(((E34*(J39*H34/1000))),4)</f>
        <v>2.9999999999999997E-4</v>
      </c>
      <c r="O39" s="31"/>
      <c r="Q39"/>
      <c r="R39"/>
      <c r="S39"/>
      <c r="T39"/>
    </row>
    <row r="40" spans="1:20" s="61" customFormat="1" ht="15.95" customHeight="1" x14ac:dyDescent="0.2">
      <c r="A40" s="7"/>
      <c r="B40" s="7"/>
      <c r="C40" s="7"/>
      <c r="D40" s="7"/>
      <c r="E40" s="7"/>
      <c r="F40" s="604"/>
      <c r="G40" s="604"/>
      <c r="H40" s="604"/>
      <c r="I40" s="609">
        <v>0.15</v>
      </c>
      <c r="J40" s="609">
        <v>0.6</v>
      </c>
      <c r="K40" s="608" t="s">
        <v>778</v>
      </c>
      <c r="L40" s="607" t="s">
        <v>779</v>
      </c>
      <c r="M40" s="26">
        <f>ROUND((F34*(I40*G34/3600)),4)</f>
        <v>1.6999999999999999E-3</v>
      </c>
      <c r="N40" s="26">
        <f>ROUND(((E34*(J40*H34/1000))),5)</f>
        <v>4.0000000000000003E-5</v>
      </c>
    </row>
    <row r="41" spans="1:20" s="61" customFormat="1" ht="15.95" customHeight="1" x14ac:dyDescent="0.2">
      <c r="A41" s="16"/>
      <c r="B41" s="16"/>
      <c r="C41" s="16"/>
      <c r="D41" s="610"/>
      <c r="E41" s="16"/>
      <c r="F41" s="118"/>
      <c r="G41" s="118"/>
      <c r="H41" s="118"/>
      <c r="I41" s="53">
        <v>1.2999999999999999E-5</v>
      </c>
      <c r="J41" s="53">
        <v>5.5000000000000002E-5</v>
      </c>
      <c r="K41" s="608" t="s">
        <v>1474</v>
      </c>
      <c r="L41" s="607" t="s">
        <v>1475</v>
      </c>
      <c r="M41" s="26">
        <f>ROUND((F34*(I41*G34/3600)),7)</f>
        <v>9.9999999999999995E-8</v>
      </c>
      <c r="N41" s="26">
        <f>ROUND(((E34*(J41*H34/1000))),9)</f>
        <v>3E-9</v>
      </c>
      <c r="O41" s="61">
        <f>SUM(M34:M41)</f>
        <v>0.24820010000000001</v>
      </c>
      <c r="P41" s="61">
        <f>SUM(N34:N41)</f>
        <v>5.7400029999999996E-3</v>
      </c>
    </row>
    <row r="42" spans="1:20" customFormat="1" ht="15.95" customHeight="1" x14ac:dyDescent="0.25">
      <c r="A42" s="61" t="s">
        <v>1479</v>
      </c>
    </row>
  </sheetData>
  <mergeCells count="22">
    <mergeCell ref="A33:N33"/>
    <mergeCell ref="H21:H22"/>
    <mergeCell ref="I21:J21"/>
    <mergeCell ref="L21:L22"/>
    <mergeCell ref="M21:N21"/>
    <mergeCell ref="A24:N24"/>
    <mergeCell ref="A21:A22"/>
    <mergeCell ref="B21:B22"/>
    <mergeCell ref="C21:C22"/>
    <mergeCell ref="D21:D22"/>
    <mergeCell ref="E21:F21"/>
    <mergeCell ref="G21:G22"/>
    <mergeCell ref="A1:M1"/>
    <mergeCell ref="A4:N4"/>
    <mergeCell ref="A6:J6"/>
    <mergeCell ref="A8:J8"/>
    <mergeCell ref="A10:J10"/>
    <mergeCell ref="A12:N12"/>
    <mergeCell ref="A13:J13"/>
    <mergeCell ref="A14:J14"/>
    <mergeCell ref="A15:J15"/>
    <mergeCell ref="A18:N18"/>
  </mergeCells>
  <pageMargins left="0.31496062992125984" right="0.31496062992125984" top="0.78740157480314965" bottom="0.39370078740157483" header="0.31496062992125984" footer="0.19685039370078741"/>
  <pageSetup paperSize="9" firstPageNumber="43" orientation="landscape" useFirstPageNumber="1" horizontalDpi="1200" verticalDpi="1200" r:id="rId1"/>
  <headerFoot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S28"/>
  <sheetViews>
    <sheetView view="pageBreakPreview" topLeftCell="A4" zoomScale="85" zoomScaleNormal="100" zoomScaleSheetLayoutView="85" workbookViewId="0">
      <selection activeCell="P21" sqref="P21"/>
    </sheetView>
  </sheetViews>
  <sheetFormatPr defaultRowHeight="15" x14ac:dyDescent="0.25"/>
  <cols>
    <col min="1" max="1" width="8" style="249" customWidth="1"/>
    <col min="2" max="2" width="9.140625" style="249"/>
    <col min="3" max="3" width="13.7109375" style="249" customWidth="1"/>
    <col min="4" max="4" width="5.85546875" style="249" customWidth="1"/>
    <col min="5" max="5" width="9.140625" style="249"/>
    <col min="6" max="6" width="15.5703125" style="249" customWidth="1"/>
    <col min="7" max="7" width="27.5703125" style="249" customWidth="1"/>
    <col min="8" max="8" width="9.140625" style="249"/>
    <col min="9" max="9" width="8.42578125" style="249" customWidth="1"/>
    <col min="10" max="10" width="10" style="249" customWidth="1"/>
    <col min="11" max="12" width="12" style="249" customWidth="1"/>
    <col min="13" max="13" width="16.85546875" style="249" customWidth="1"/>
    <col min="14" max="16384" width="9.140625" style="249"/>
  </cols>
  <sheetData>
    <row r="1" spans="1:19" ht="18.75" x14ac:dyDescent="0.3">
      <c r="A1" s="974" t="s">
        <v>1103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354"/>
      <c r="M1" s="278"/>
      <c r="N1" s="278"/>
      <c r="O1" s="278"/>
      <c r="P1" s="278"/>
      <c r="Q1" s="278"/>
    </row>
    <row r="2" spans="1:19" ht="10.5" customHeight="1" x14ac:dyDescent="0.25">
      <c r="A2" s="277"/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</row>
    <row r="3" spans="1:19" s="184" customFormat="1" ht="15.75" customHeight="1" x14ac:dyDescent="0.25">
      <c r="A3" s="1299" t="s">
        <v>796</v>
      </c>
      <c r="B3" s="1299"/>
      <c r="C3" s="1299"/>
      <c r="D3" s="1299"/>
      <c r="E3" s="1299"/>
      <c r="F3" s="1299"/>
      <c r="G3" s="1299"/>
      <c r="H3" s="1299"/>
      <c r="I3" s="1299"/>
      <c r="J3" s="279"/>
      <c r="K3" s="279"/>
      <c r="L3" s="279"/>
      <c r="M3" s="279"/>
      <c r="N3" s="279"/>
      <c r="O3" s="279"/>
      <c r="P3" s="279"/>
      <c r="Q3" s="279"/>
      <c r="R3" s="279"/>
      <c r="S3" s="279"/>
    </row>
    <row r="4" spans="1:19" s="280" customFormat="1" ht="17.25" customHeight="1" x14ac:dyDescent="0.25">
      <c r="A4" s="1278" t="s">
        <v>967</v>
      </c>
      <c r="B4" s="1278"/>
      <c r="C4" s="1278"/>
      <c r="D4" s="1278"/>
      <c r="E4" s="1278"/>
      <c r="F4" s="1278"/>
      <c r="G4" s="1278"/>
      <c r="H4" s="1278"/>
      <c r="I4" s="1278"/>
      <c r="J4" s="1278"/>
      <c r="K4" s="1278"/>
      <c r="L4" s="185"/>
      <c r="M4" s="194"/>
      <c r="N4" s="194"/>
      <c r="O4" s="194"/>
      <c r="P4" s="194"/>
      <c r="Q4" s="194"/>
      <c r="R4" s="194"/>
      <c r="S4" s="194"/>
    </row>
    <row r="5" spans="1:19" s="281" customFormat="1" ht="16.5" customHeight="1" x14ac:dyDescent="0.25">
      <c r="A5" s="194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</row>
    <row r="6" spans="1:19" s="356" customFormat="1" ht="18.75" customHeight="1" x14ac:dyDescent="0.3">
      <c r="A6" s="1041" t="s">
        <v>972</v>
      </c>
      <c r="B6" s="1041"/>
      <c r="C6" s="1041"/>
      <c r="D6" s="1041"/>
      <c r="E6" s="1041"/>
      <c r="F6" s="1041"/>
      <c r="G6" s="1041"/>
      <c r="H6" s="1041"/>
      <c r="I6" s="1041"/>
      <c r="J6" s="1041"/>
      <c r="K6" s="1041"/>
      <c r="L6" s="204"/>
      <c r="M6" s="196"/>
      <c r="N6" s="196"/>
      <c r="O6" s="196"/>
      <c r="P6" s="196"/>
      <c r="Q6" s="196"/>
      <c r="R6" s="196"/>
      <c r="S6" s="196"/>
    </row>
    <row r="7" spans="1:19" s="356" customFormat="1" ht="18.75" customHeight="1" x14ac:dyDescent="0.3">
      <c r="A7" s="204"/>
      <c r="B7" s="204"/>
      <c r="C7" s="204"/>
      <c r="D7" s="204"/>
      <c r="E7" s="204"/>
      <c r="F7" s="204"/>
      <c r="G7" s="204"/>
      <c r="H7" s="204"/>
      <c r="I7" s="204"/>
      <c r="J7" s="204"/>
      <c r="K7" s="204"/>
      <c r="L7" s="204"/>
      <c r="M7" s="196"/>
      <c r="N7" s="196"/>
      <c r="O7" s="196"/>
      <c r="P7" s="196"/>
      <c r="Q7" s="196"/>
      <c r="R7" s="196"/>
      <c r="S7" s="196"/>
    </row>
    <row r="8" spans="1:19" s="356" customFormat="1" ht="18.75" customHeight="1" x14ac:dyDescent="0.3">
      <c r="A8" s="1041" t="s">
        <v>913</v>
      </c>
      <c r="B8" s="1041"/>
      <c r="C8" s="1041"/>
      <c r="D8" s="1041"/>
      <c r="E8" s="1041"/>
      <c r="F8" s="1041"/>
      <c r="G8" s="1041"/>
      <c r="H8" s="1041"/>
      <c r="I8" s="1041"/>
      <c r="J8" s="1041"/>
      <c r="K8" s="1041"/>
      <c r="L8" s="204"/>
      <c r="M8" s="196"/>
      <c r="N8" s="196"/>
      <c r="O8" s="196"/>
      <c r="P8" s="196"/>
      <c r="Q8" s="196"/>
      <c r="R8" s="196"/>
      <c r="S8" s="196"/>
    </row>
    <row r="9" spans="1:19" s="280" customFormat="1" ht="12.75" customHeight="1" x14ac:dyDescent="0.25">
      <c r="A9" s="185"/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94"/>
      <c r="N9" s="194"/>
      <c r="O9" s="194"/>
      <c r="P9" s="194"/>
      <c r="Q9" s="194"/>
      <c r="R9" s="194"/>
      <c r="S9" s="194"/>
    </row>
    <row r="10" spans="1:19" s="356" customFormat="1" ht="21.75" customHeight="1" x14ac:dyDescent="0.3">
      <c r="A10" s="973" t="s">
        <v>965</v>
      </c>
      <c r="B10" s="973"/>
      <c r="C10" s="973"/>
      <c r="D10" s="973"/>
      <c r="E10" s="973"/>
      <c r="F10" s="973"/>
      <c r="G10" s="973"/>
      <c r="H10" s="973"/>
      <c r="I10" s="973"/>
      <c r="J10" s="973"/>
      <c r="K10" s="973"/>
      <c r="L10" s="205"/>
      <c r="M10" s="196"/>
      <c r="N10" s="196"/>
      <c r="O10" s="196"/>
      <c r="P10" s="196"/>
      <c r="Q10" s="196"/>
      <c r="R10" s="196"/>
      <c r="S10" s="196"/>
    </row>
    <row r="11" spans="1:19" s="356" customFormat="1" ht="5.25" customHeight="1" x14ac:dyDescent="0.3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196"/>
      <c r="N11" s="196"/>
      <c r="O11" s="196"/>
      <c r="P11" s="196"/>
      <c r="Q11" s="196"/>
      <c r="R11" s="196"/>
      <c r="S11" s="196"/>
    </row>
    <row r="12" spans="1:19" s="356" customFormat="1" ht="21.75" customHeight="1" x14ac:dyDescent="0.3">
      <c r="A12" s="973" t="s">
        <v>966</v>
      </c>
      <c r="B12" s="973"/>
      <c r="C12" s="973"/>
      <c r="D12" s="973"/>
      <c r="E12" s="973"/>
      <c r="F12" s="973"/>
      <c r="G12" s="973"/>
      <c r="H12" s="973"/>
      <c r="I12" s="973"/>
      <c r="J12" s="973"/>
      <c r="K12" s="973"/>
      <c r="L12" s="205"/>
      <c r="M12" s="196"/>
      <c r="N12" s="196"/>
      <c r="O12" s="196"/>
      <c r="P12" s="196"/>
      <c r="Q12" s="196"/>
      <c r="R12" s="196"/>
      <c r="S12" s="196"/>
    </row>
    <row r="13" spans="1:19" s="356" customFormat="1" ht="9.75" customHeight="1" x14ac:dyDescent="0.3">
      <c r="A13" s="205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196"/>
      <c r="N13" s="196"/>
      <c r="O13" s="196"/>
      <c r="P13" s="196"/>
      <c r="Q13" s="196"/>
      <c r="R13" s="196"/>
      <c r="S13" s="196"/>
    </row>
    <row r="14" spans="1:19" s="356" customFormat="1" ht="17.25" customHeight="1" x14ac:dyDescent="0.3">
      <c r="A14" s="282" t="s">
        <v>801</v>
      </c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196"/>
      <c r="N14" s="196"/>
      <c r="O14" s="196"/>
      <c r="P14" s="196"/>
      <c r="Q14" s="196"/>
      <c r="R14" s="196"/>
      <c r="S14" s="196"/>
    </row>
    <row r="15" spans="1:19" s="356" customFormat="1" ht="17.25" customHeight="1" x14ac:dyDescent="0.3">
      <c r="A15" s="1278" t="s">
        <v>968</v>
      </c>
      <c r="B15" s="1278"/>
      <c r="C15" s="1278"/>
      <c r="D15" s="1278"/>
      <c r="E15" s="1278"/>
      <c r="F15" s="1278"/>
      <c r="G15" s="1278"/>
      <c r="H15" s="1278"/>
      <c r="I15" s="1278"/>
      <c r="J15" s="1278"/>
      <c r="K15" s="1278"/>
      <c r="L15" s="185"/>
      <c r="M15" s="196"/>
      <c r="N15" s="196"/>
      <c r="O15" s="196"/>
      <c r="P15" s="196"/>
      <c r="Q15" s="196"/>
      <c r="R15" s="196"/>
      <c r="S15" s="196"/>
    </row>
    <row r="16" spans="1:19" s="356" customFormat="1" ht="17.25" customHeight="1" x14ac:dyDescent="0.3">
      <c r="A16" s="1278" t="s">
        <v>969</v>
      </c>
      <c r="B16" s="1278"/>
      <c r="C16" s="1278"/>
      <c r="D16" s="1278"/>
      <c r="E16" s="1278"/>
      <c r="F16" s="1278"/>
      <c r="G16" s="1278"/>
      <c r="H16" s="1278"/>
      <c r="I16" s="1278"/>
      <c r="J16" s="1278"/>
      <c r="K16" s="1278"/>
      <c r="L16" s="185"/>
      <c r="M16" s="196"/>
      <c r="N16" s="196"/>
      <c r="O16" s="196"/>
      <c r="P16" s="196"/>
      <c r="Q16" s="196"/>
      <c r="R16" s="196"/>
      <c r="S16" s="196"/>
    </row>
    <row r="17" spans="1:19" s="356" customFormat="1" ht="36.75" customHeight="1" x14ac:dyDescent="0.3">
      <c r="A17" s="1278" t="s">
        <v>970</v>
      </c>
      <c r="B17" s="1278"/>
      <c r="C17" s="1278"/>
      <c r="D17" s="1278"/>
      <c r="E17" s="1278"/>
      <c r="F17" s="1278"/>
      <c r="G17" s="1278"/>
      <c r="H17" s="1278"/>
      <c r="I17" s="1278"/>
      <c r="J17" s="1278"/>
      <c r="K17" s="1278"/>
      <c r="L17" s="185"/>
      <c r="M17" s="196"/>
      <c r="N17" s="196"/>
      <c r="O17" s="196"/>
      <c r="P17" s="196"/>
      <c r="Q17" s="196"/>
      <c r="R17" s="196"/>
      <c r="S17" s="196"/>
    </row>
    <row r="18" spans="1:19" s="356" customFormat="1" ht="12.75" customHeight="1" x14ac:dyDescent="0.3">
      <c r="A18" s="185"/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96"/>
      <c r="N18" s="196"/>
      <c r="O18" s="196"/>
      <c r="P18" s="196"/>
      <c r="Q18" s="196"/>
      <c r="R18" s="196"/>
      <c r="S18" s="196"/>
    </row>
    <row r="19" spans="1:19" s="280" customFormat="1" ht="17.25" customHeight="1" x14ac:dyDescent="0.25">
      <c r="A19" s="1278" t="s">
        <v>1105</v>
      </c>
      <c r="B19" s="1278"/>
      <c r="C19" s="1278"/>
      <c r="D19" s="1278"/>
      <c r="E19" s="1278"/>
      <c r="F19" s="1278"/>
      <c r="G19" s="1278"/>
      <c r="H19" s="1278"/>
      <c r="I19" s="1278"/>
      <c r="J19" s="1278"/>
      <c r="K19" s="1278"/>
      <c r="L19" s="282"/>
      <c r="M19" s="194"/>
      <c r="N19" s="194"/>
      <c r="O19" s="194"/>
      <c r="P19" s="194"/>
      <c r="Q19" s="194"/>
      <c r="R19" s="194"/>
      <c r="S19" s="194"/>
    </row>
    <row r="20" spans="1:19" s="280" customFormat="1" ht="16.5" customHeight="1" x14ac:dyDescent="0.25">
      <c r="A20" s="282"/>
      <c r="B20" s="282"/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194"/>
      <c r="N20" s="194"/>
      <c r="O20" s="194"/>
      <c r="P20" s="194"/>
      <c r="Q20" s="194"/>
      <c r="R20" s="194"/>
      <c r="S20" s="194"/>
    </row>
    <row r="21" spans="1:19" s="281" customFormat="1" ht="18" customHeight="1" x14ac:dyDescent="0.3">
      <c r="A21" s="1041" t="s">
        <v>1102</v>
      </c>
      <c r="B21" s="1041"/>
      <c r="C21" s="1041"/>
      <c r="D21" s="1041"/>
      <c r="E21" s="1041"/>
      <c r="F21" s="1041"/>
      <c r="G21" s="1041"/>
      <c r="H21" s="1041"/>
      <c r="I21" s="1041"/>
      <c r="J21" s="1041"/>
      <c r="K21" s="1041"/>
      <c r="L21" s="204"/>
      <c r="M21" s="194"/>
      <c r="N21" s="194"/>
      <c r="O21" s="194"/>
      <c r="P21" s="194"/>
      <c r="Q21" s="194"/>
      <c r="R21" s="194"/>
      <c r="S21" s="194"/>
    </row>
    <row r="22" spans="1:19" s="184" customFormat="1" ht="15.75" x14ac:dyDescent="0.25">
      <c r="A22" s="1320" t="s">
        <v>143</v>
      </c>
      <c r="B22" s="1323" t="s">
        <v>170</v>
      </c>
      <c r="C22" s="1324"/>
      <c r="D22" s="1325"/>
      <c r="E22" s="1332" t="s">
        <v>182</v>
      </c>
      <c r="F22" s="1308" t="s">
        <v>914</v>
      </c>
      <c r="G22" s="1313" t="s">
        <v>183</v>
      </c>
      <c r="H22" s="1308" t="s">
        <v>21</v>
      </c>
      <c r="I22" s="1308" t="s">
        <v>144</v>
      </c>
      <c r="J22" s="1313" t="s">
        <v>184</v>
      </c>
      <c r="K22" s="1314"/>
      <c r="L22" s="357"/>
    </row>
    <row r="23" spans="1:19" s="184" customFormat="1" ht="15.75" x14ac:dyDescent="0.25">
      <c r="A23" s="1321"/>
      <c r="B23" s="1326"/>
      <c r="C23" s="1327"/>
      <c r="D23" s="1328"/>
      <c r="E23" s="1333"/>
      <c r="F23" s="1309"/>
      <c r="G23" s="1335"/>
      <c r="H23" s="1309"/>
      <c r="I23" s="1311"/>
      <c r="J23" s="1315"/>
      <c r="K23" s="1316"/>
      <c r="L23" s="357"/>
    </row>
    <row r="24" spans="1:19" s="184" customFormat="1" ht="15.75" x14ac:dyDescent="0.25">
      <c r="A24" s="1322"/>
      <c r="B24" s="1329"/>
      <c r="C24" s="1330"/>
      <c r="D24" s="1331"/>
      <c r="E24" s="1334"/>
      <c r="F24" s="1310"/>
      <c r="G24" s="1315"/>
      <c r="H24" s="1310"/>
      <c r="I24" s="1312"/>
      <c r="J24" s="358" t="s">
        <v>18</v>
      </c>
      <c r="K24" s="359" t="s">
        <v>19</v>
      </c>
      <c r="L24" s="325"/>
    </row>
    <row r="25" spans="1:19" s="184" customFormat="1" ht="15.75" x14ac:dyDescent="0.25">
      <c r="A25" s="360">
        <v>1</v>
      </c>
      <c r="B25" s="1317">
        <v>2</v>
      </c>
      <c r="C25" s="1318"/>
      <c r="D25" s="1319"/>
      <c r="E25" s="361">
        <v>3</v>
      </c>
      <c r="F25" s="362">
        <v>4</v>
      </c>
      <c r="G25" s="471">
        <v>5</v>
      </c>
      <c r="H25" s="361">
        <v>6</v>
      </c>
      <c r="I25" s="363">
        <v>7</v>
      </c>
      <c r="J25" s="358">
        <v>8</v>
      </c>
      <c r="K25" s="359">
        <v>9</v>
      </c>
      <c r="L25" s="325"/>
    </row>
    <row r="26" spans="1:19" s="184" customFormat="1" ht="15.75" x14ac:dyDescent="0.25">
      <c r="A26" s="1300" t="s">
        <v>148</v>
      </c>
      <c r="B26" s="1301"/>
      <c r="C26" s="1301"/>
      <c r="D26" s="1301"/>
      <c r="E26" s="1301"/>
      <c r="F26" s="1301"/>
      <c r="G26" s="1301"/>
      <c r="H26" s="1301"/>
      <c r="I26" s="1301"/>
      <c r="J26" s="1301"/>
      <c r="K26" s="1302"/>
      <c r="L26" s="364"/>
    </row>
    <row r="27" spans="1:19" s="184" customFormat="1" ht="15.75" x14ac:dyDescent="0.25">
      <c r="A27" s="1303" t="s">
        <v>252</v>
      </c>
      <c r="B27" s="1304"/>
      <c r="C27" s="1304"/>
      <c r="D27" s="1304"/>
      <c r="E27" s="1304"/>
      <c r="F27" s="1304"/>
      <c r="G27" s="1304"/>
      <c r="H27" s="1304"/>
      <c r="I27" s="1304"/>
      <c r="J27" s="1304"/>
      <c r="K27" s="1305"/>
      <c r="L27" s="365"/>
    </row>
    <row r="28" spans="1:19" s="273" customFormat="1" ht="46.5" customHeight="1" x14ac:dyDescent="0.25">
      <c r="A28" s="819" t="s">
        <v>185</v>
      </c>
      <c r="B28" s="1306" t="s">
        <v>186</v>
      </c>
      <c r="C28" s="1307"/>
      <c r="D28" s="1307"/>
      <c r="E28" s="820">
        <v>474</v>
      </c>
      <c r="F28" s="820">
        <v>7.1999999999999995E-2</v>
      </c>
      <c r="G28" s="821" t="s">
        <v>971</v>
      </c>
      <c r="H28" s="819" t="s">
        <v>415</v>
      </c>
      <c r="I28" s="819" t="s">
        <v>1481</v>
      </c>
      <c r="J28" s="822">
        <f>ROUND((F28*(1-I28/100)),5)</f>
        <v>1.3999999999999999E-4</v>
      </c>
      <c r="K28" s="820">
        <f>ROUND((3.6*F28*E28*(1-I28/100)/1000),5)</f>
        <v>2.5000000000000001E-4</v>
      </c>
      <c r="L28" s="823">
        <f>J28</f>
        <v>1.3999999999999999E-4</v>
      </c>
      <c r="M28" s="823">
        <f>K28</f>
        <v>2.5000000000000001E-4</v>
      </c>
      <c r="N28" s="273" t="s">
        <v>738</v>
      </c>
    </row>
  </sheetData>
  <mergeCells count="24">
    <mergeCell ref="A26:K26"/>
    <mergeCell ref="A27:K27"/>
    <mergeCell ref="B28:D28"/>
    <mergeCell ref="A10:K10"/>
    <mergeCell ref="A16:K16"/>
    <mergeCell ref="A15:K15"/>
    <mergeCell ref="A17:K17"/>
    <mergeCell ref="H22:H24"/>
    <mergeCell ref="I22:I24"/>
    <mergeCell ref="J22:K23"/>
    <mergeCell ref="B25:D25"/>
    <mergeCell ref="A22:A24"/>
    <mergeCell ref="B22:D24"/>
    <mergeCell ref="E22:E24"/>
    <mergeCell ref="F22:F24"/>
    <mergeCell ref="G22:G24"/>
    <mergeCell ref="A12:K12"/>
    <mergeCell ref="A21:K21"/>
    <mergeCell ref="A19:K19"/>
    <mergeCell ref="A1:K1"/>
    <mergeCell ref="A3:I3"/>
    <mergeCell ref="A4:K4"/>
    <mergeCell ref="A6:K6"/>
    <mergeCell ref="A8:K8"/>
  </mergeCells>
  <pageMargins left="0.31496062992125984" right="0.31496062992125984" top="0.74803149606299213" bottom="0.39370078740157483" header="0.31496062992125984" footer="0.31496062992125984"/>
  <pageSetup paperSize="9" firstPageNumber="45" orientation="landscape" useFirstPageNumber="1" r:id="rId1"/>
  <headerFoot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A1:U124"/>
  <sheetViews>
    <sheetView view="pageBreakPreview" topLeftCell="A103" zoomScaleNormal="100" zoomScaleSheetLayoutView="100" workbookViewId="0">
      <selection activeCell="I115" sqref="I115:I120"/>
    </sheetView>
  </sheetViews>
  <sheetFormatPr defaultRowHeight="15" x14ac:dyDescent="0.25"/>
  <cols>
    <col min="1" max="1" width="5.42578125" customWidth="1"/>
    <col min="2" max="2" width="22.28515625" style="480" customWidth="1"/>
    <col min="3" max="3" width="38" style="480" customWidth="1"/>
    <col min="4" max="4" width="6" style="480" customWidth="1"/>
    <col min="5" max="5" width="8.28515625" style="480" customWidth="1"/>
    <col min="6" max="6" width="10.140625" style="918" customWidth="1"/>
    <col min="7" max="7" width="20.140625" customWidth="1"/>
    <col min="8" max="8" width="5.7109375" customWidth="1"/>
    <col min="9" max="9" width="10.28515625" customWidth="1"/>
    <col min="10" max="10" width="11.42578125" customWidth="1"/>
    <col min="11" max="12" width="11.42578125" style="724" customWidth="1"/>
  </cols>
  <sheetData>
    <row r="1" spans="1:21" s="370" customFormat="1" ht="18" customHeight="1" x14ac:dyDescent="0.25">
      <c r="A1" s="1379" t="s">
        <v>1108</v>
      </c>
      <c r="B1" s="1379"/>
      <c r="C1" s="1379"/>
      <c r="D1" s="1379"/>
      <c r="E1" s="1379"/>
      <c r="F1" s="1379"/>
      <c r="G1" s="1379"/>
      <c r="H1" s="1379"/>
      <c r="I1" s="1379"/>
      <c r="K1" s="725"/>
      <c r="L1" s="725"/>
    </row>
    <row r="2" spans="1:21" s="370" customFormat="1" ht="9.75" customHeight="1" x14ac:dyDescent="0.25">
      <c r="A2" s="371"/>
      <c r="B2" s="473"/>
      <c r="C2" s="473"/>
      <c r="D2" s="473"/>
      <c r="E2" s="473"/>
      <c r="F2" s="914"/>
      <c r="G2" s="371"/>
      <c r="H2" s="373"/>
      <c r="I2" s="373"/>
      <c r="K2" s="725"/>
      <c r="L2" s="725"/>
    </row>
    <row r="3" spans="1:21" s="370" customFormat="1" ht="39" customHeight="1" x14ac:dyDescent="0.25">
      <c r="A3" s="1380" t="s">
        <v>978</v>
      </c>
      <c r="B3" s="1380"/>
      <c r="C3" s="1380"/>
      <c r="D3" s="1380"/>
      <c r="E3" s="1380"/>
      <c r="F3" s="1380"/>
      <c r="G3" s="1380"/>
      <c r="H3" s="1380"/>
      <c r="I3" s="1380"/>
      <c r="J3" s="1380"/>
      <c r="K3" s="725"/>
      <c r="L3" s="725"/>
    </row>
    <row r="4" spans="1:21" s="370" customFormat="1" ht="7.5" customHeight="1" x14ac:dyDescent="0.25">
      <c r="A4" s="374"/>
      <c r="B4" s="474"/>
      <c r="C4" s="474"/>
      <c r="D4" s="474"/>
      <c r="E4" s="474"/>
      <c r="F4" s="915"/>
      <c r="G4" s="374"/>
      <c r="H4" s="375"/>
      <c r="I4" s="375"/>
      <c r="K4" s="725"/>
      <c r="L4" s="725"/>
    </row>
    <row r="5" spans="1:21" s="376" customFormat="1" ht="18.75" customHeight="1" x14ac:dyDescent="0.25">
      <c r="A5" s="1380" t="s">
        <v>974</v>
      </c>
      <c r="B5" s="1380"/>
      <c r="C5" s="1380"/>
      <c r="D5" s="1380"/>
      <c r="E5" s="1380"/>
      <c r="F5" s="1380"/>
      <c r="G5" s="1380"/>
      <c r="H5" s="1380"/>
      <c r="I5" s="1380"/>
      <c r="K5" s="725"/>
      <c r="L5" s="725"/>
    </row>
    <row r="6" spans="1:21" s="376" customFormat="1" ht="9.75" customHeight="1" x14ac:dyDescent="0.25">
      <c r="A6" s="202"/>
      <c r="B6" s="476"/>
      <c r="C6" s="476"/>
      <c r="D6" s="476"/>
      <c r="E6" s="476"/>
      <c r="F6" s="916"/>
      <c r="G6" s="202"/>
      <c r="H6" s="202"/>
      <c r="I6" s="202"/>
      <c r="K6" s="725"/>
      <c r="L6" s="725"/>
    </row>
    <row r="7" spans="1:21" s="376" customFormat="1" ht="18.75" customHeight="1" x14ac:dyDescent="0.25">
      <c r="A7" s="1381" t="s">
        <v>975</v>
      </c>
      <c r="B7" s="1381"/>
      <c r="C7" s="1381"/>
      <c r="D7" s="1381"/>
      <c r="E7" s="1381"/>
      <c r="F7" s="1381"/>
      <c r="G7" s="1381"/>
      <c r="H7" s="1381"/>
      <c r="I7" s="1381"/>
      <c r="K7" s="725"/>
      <c r="L7" s="725"/>
    </row>
    <row r="8" spans="1:21" s="370" customFormat="1" ht="8.25" customHeight="1" x14ac:dyDescent="0.25">
      <c r="A8" s="371"/>
      <c r="B8" s="473"/>
      <c r="C8" s="473"/>
      <c r="D8" s="473"/>
      <c r="E8" s="473"/>
      <c r="F8" s="914"/>
      <c r="G8" s="371"/>
      <c r="H8" s="373"/>
      <c r="I8" s="373"/>
      <c r="K8" s="725"/>
      <c r="L8" s="725"/>
    </row>
    <row r="9" spans="1:21" s="370" customFormat="1" ht="13.5" customHeight="1" x14ac:dyDescent="0.25">
      <c r="A9" s="1382" t="s">
        <v>976</v>
      </c>
      <c r="B9" s="1382"/>
      <c r="C9" s="1382"/>
      <c r="D9" s="1382"/>
      <c r="E9" s="1382"/>
      <c r="F9" s="1382"/>
      <c r="G9" s="1382"/>
      <c r="H9" s="1382"/>
      <c r="I9" s="1382"/>
      <c r="K9" s="725"/>
      <c r="L9" s="725"/>
    </row>
    <row r="10" spans="1:21" s="370" customFormat="1" ht="14.25" customHeight="1" x14ac:dyDescent="0.25">
      <c r="A10" s="1382" t="s">
        <v>977</v>
      </c>
      <c r="B10" s="1382"/>
      <c r="C10" s="1382"/>
      <c r="D10" s="1382"/>
      <c r="E10" s="1382"/>
      <c r="F10" s="1382"/>
      <c r="G10" s="1382"/>
      <c r="H10" s="1382"/>
      <c r="I10" s="1382"/>
      <c r="K10" s="725"/>
      <c r="L10" s="725"/>
    </row>
    <row r="11" spans="1:21" s="370" customFormat="1" ht="14.25" customHeight="1" x14ac:dyDescent="0.25">
      <c r="A11" s="374"/>
      <c r="B11" s="474"/>
      <c r="C11" s="474"/>
      <c r="D11" s="474"/>
      <c r="E11" s="474"/>
      <c r="F11" s="915"/>
      <c r="G11" s="374"/>
      <c r="H11" s="375"/>
      <c r="I11" s="375"/>
      <c r="K11" s="725"/>
      <c r="L11" s="725"/>
    </row>
    <row r="12" spans="1:21" s="432" customFormat="1" ht="17.25" customHeight="1" x14ac:dyDescent="0.25">
      <c r="A12" s="1278" t="s">
        <v>1104</v>
      </c>
      <c r="B12" s="1278"/>
      <c r="C12" s="1278"/>
      <c r="D12" s="1278"/>
      <c r="E12" s="1278"/>
      <c r="F12" s="1278"/>
      <c r="G12" s="1278"/>
      <c r="H12" s="1278"/>
      <c r="I12" s="1278"/>
      <c r="J12" s="1278"/>
      <c r="K12" s="723"/>
      <c r="L12" s="723"/>
      <c r="M12" s="194"/>
      <c r="N12" s="185"/>
      <c r="O12" s="185"/>
      <c r="P12" s="185"/>
      <c r="Q12" s="185"/>
      <c r="R12" s="185"/>
      <c r="S12" s="185"/>
      <c r="T12" s="185"/>
      <c r="U12" s="185"/>
    </row>
    <row r="13" spans="1:21" s="432" customFormat="1" ht="17.25" customHeight="1" x14ac:dyDescent="0.25">
      <c r="A13" s="185"/>
      <c r="B13" s="516"/>
      <c r="C13" s="516"/>
      <c r="D13" s="516"/>
      <c r="E13" s="516"/>
      <c r="F13" s="583"/>
      <c r="G13" s="185"/>
      <c r="H13" s="185"/>
      <c r="I13" s="185"/>
      <c r="J13" s="185"/>
      <c r="K13" s="723"/>
      <c r="L13" s="723"/>
      <c r="M13" s="194"/>
      <c r="N13" s="185"/>
      <c r="O13" s="185"/>
      <c r="P13" s="185"/>
      <c r="Q13" s="185"/>
      <c r="R13" s="185"/>
      <c r="S13" s="185"/>
      <c r="T13" s="185"/>
      <c r="U13" s="185"/>
    </row>
    <row r="14" spans="1:21" s="281" customFormat="1" ht="18" customHeight="1" x14ac:dyDescent="0.3">
      <c r="A14" s="1041" t="s">
        <v>973</v>
      </c>
      <c r="B14" s="1041"/>
      <c r="C14" s="1041"/>
      <c r="D14" s="1041"/>
      <c r="E14" s="1041"/>
      <c r="F14" s="1041"/>
      <c r="G14" s="1041"/>
      <c r="H14" s="1041"/>
      <c r="I14" s="1041"/>
      <c r="J14" s="1041"/>
      <c r="K14" s="1041"/>
      <c r="L14" s="1041"/>
      <c r="M14" s="1041"/>
      <c r="N14" s="204"/>
      <c r="O14" s="194"/>
      <c r="P14" s="194"/>
      <c r="Q14" s="194"/>
      <c r="R14" s="194"/>
      <c r="S14" s="194"/>
      <c r="T14" s="194"/>
      <c r="U14" s="194"/>
    </row>
    <row r="15" spans="1:21" ht="25.5" customHeight="1" x14ac:dyDescent="0.25">
      <c r="A15" s="1362" t="s">
        <v>409</v>
      </c>
      <c r="B15" s="1368" t="s">
        <v>418</v>
      </c>
      <c r="C15" s="1368" t="s">
        <v>410</v>
      </c>
      <c r="D15" s="1368" t="s">
        <v>159</v>
      </c>
      <c r="E15" s="1368" t="s">
        <v>223</v>
      </c>
      <c r="F15" s="1369" t="s">
        <v>411</v>
      </c>
      <c r="G15" s="1362" t="s">
        <v>412</v>
      </c>
      <c r="H15" s="1362" t="s">
        <v>21</v>
      </c>
      <c r="I15" s="1362" t="s">
        <v>413</v>
      </c>
      <c r="J15" s="1362"/>
      <c r="K15" s="287"/>
      <c r="L15" s="287"/>
    </row>
    <row r="16" spans="1:21" ht="24.75" customHeight="1" x14ac:dyDescent="0.25">
      <c r="A16" s="1362"/>
      <c r="B16" s="1368"/>
      <c r="C16" s="1368"/>
      <c r="D16" s="1368"/>
      <c r="E16" s="1368"/>
      <c r="F16" s="1369"/>
      <c r="G16" s="1362"/>
      <c r="H16" s="1362"/>
      <c r="I16" s="19" t="s">
        <v>440</v>
      </c>
      <c r="J16" s="19" t="s">
        <v>19</v>
      </c>
      <c r="K16" s="287"/>
      <c r="L16" s="287"/>
    </row>
    <row r="17" spans="1:12" x14ac:dyDescent="0.25">
      <c r="A17" s="19">
        <v>1</v>
      </c>
      <c r="B17" s="85">
        <v>2</v>
      </c>
      <c r="C17" s="85">
        <v>3</v>
      </c>
      <c r="D17" s="85">
        <v>4</v>
      </c>
      <c r="E17" s="85">
        <v>5</v>
      </c>
      <c r="F17" s="917">
        <v>6</v>
      </c>
      <c r="G17" s="19">
        <v>7</v>
      </c>
      <c r="H17" s="19">
        <v>8</v>
      </c>
      <c r="I17" s="19">
        <v>9</v>
      </c>
      <c r="J17" s="19">
        <v>10</v>
      </c>
      <c r="K17" s="287"/>
      <c r="L17" s="287"/>
    </row>
    <row r="18" spans="1:12" ht="15.75" x14ac:dyDescent="0.25">
      <c r="A18" s="1374" t="s">
        <v>1153</v>
      </c>
      <c r="B18" s="1375"/>
      <c r="C18" s="1375"/>
      <c r="D18" s="1375"/>
      <c r="E18" s="1375"/>
      <c r="F18" s="1375"/>
      <c r="G18" s="1375"/>
      <c r="H18" s="1375"/>
      <c r="I18" s="1375"/>
      <c r="J18" s="1376"/>
      <c r="K18" s="729"/>
      <c r="L18" s="729"/>
    </row>
    <row r="19" spans="1:12" x14ac:dyDescent="0.25">
      <c r="A19" s="1373" t="s">
        <v>498</v>
      </c>
      <c r="B19" s="1045"/>
      <c r="C19" s="1045"/>
      <c r="D19" s="1045"/>
      <c r="E19" s="1045"/>
      <c r="F19" s="1045"/>
      <c r="G19" s="1045"/>
      <c r="H19" s="1045"/>
      <c r="I19" s="1045"/>
      <c r="J19" s="1046"/>
      <c r="K19" s="730"/>
      <c r="L19" s="730"/>
    </row>
    <row r="20" spans="1:12" ht="36" customHeight="1" x14ac:dyDescent="0.25">
      <c r="A20" s="1079">
        <v>1</v>
      </c>
      <c r="B20" s="1079" t="s">
        <v>450</v>
      </c>
      <c r="C20" s="1079" t="s">
        <v>979</v>
      </c>
      <c r="D20" s="1365" t="s">
        <v>419</v>
      </c>
      <c r="E20" s="1085">
        <v>2190</v>
      </c>
      <c r="F20" s="1349" t="s">
        <v>1483</v>
      </c>
      <c r="G20" s="158" t="s">
        <v>420</v>
      </c>
      <c r="H20" s="154" t="s">
        <v>66</v>
      </c>
      <c r="I20" s="19">
        <v>2E-3</v>
      </c>
      <c r="J20" s="155">
        <f>ROUND(3.6*I20*E20/1000,4)</f>
        <v>1.5800000000000002E-2</v>
      </c>
      <c r="K20" s="368"/>
      <c r="L20" s="368"/>
    </row>
    <row r="21" spans="1:12" ht="36" customHeight="1" x14ac:dyDescent="0.25">
      <c r="A21" s="1344"/>
      <c r="B21" s="1344"/>
      <c r="C21" s="1344"/>
      <c r="D21" s="1366"/>
      <c r="E21" s="1296"/>
      <c r="F21" s="1355"/>
      <c r="G21" s="158" t="s">
        <v>421</v>
      </c>
      <c r="H21" s="154" t="s">
        <v>49</v>
      </c>
      <c r="I21" s="19">
        <v>1.83E-3</v>
      </c>
      <c r="J21" s="155">
        <f>ROUND(3.6*I21*E20/1000,4)</f>
        <v>1.44E-2</v>
      </c>
      <c r="K21" s="368"/>
      <c r="L21" s="368"/>
    </row>
    <row r="22" spans="1:12" ht="36" customHeight="1" x14ac:dyDescent="0.25">
      <c r="A22" s="1344"/>
      <c r="B22" s="1344"/>
      <c r="C22" s="1344"/>
      <c r="D22" s="1366"/>
      <c r="E22" s="1296"/>
      <c r="F22" s="1355"/>
      <c r="G22" s="158" t="s">
        <v>422</v>
      </c>
      <c r="H22" s="154" t="s">
        <v>52</v>
      </c>
      <c r="I22" s="19">
        <v>2.3800000000000002E-3</v>
      </c>
      <c r="J22" s="155">
        <f>ROUND(3.6*I22*E20/1000,4)</f>
        <v>1.8800000000000001E-2</v>
      </c>
      <c r="K22" s="368"/>
      <c r="L22" s="368"/>
    </row>
    <row r="23" spans="1:12" ht="36" customHeight="1" x14ac:dyDescent="0.25">
      <c r="A23" s="1344"/>
      <c r="B23" s="1352"/>
      <c r="C23" s="1344"/>
      <c r="D23" s="1366"/>
      <c r="E23" s="1296"/>
      <c r="F23" s="1355"/>
      <c r="G23" s="21" t="s">
        <v>175</v>
      </c>
      <c r="H23" s="59" t="s">
        <v>176</v>
      </c>
      <c r="I23" s="19">
        <v>5.0000000000000001E-4</v>
      </c>
      <c r="J23" s="155">
        <f>ROUND(3.6*I23*E20/1000,4)</f>
        <v>3.8999999999999998E-3</v>
      </c>
      <c r="K23" s="368"/>
      <c r="L23" s="368"/>
    </row>
    <row r="24" spans="1:12" ht="45" customHeight="1" x14ac:dyDescent="0.25">
      <c r="A24" s="1344"/>
      <c r="B24" s="1352"/>
      <c r="C24" s="1344"/>
      <c r="D24" s="1366"/>
      <c r="E24" s="1296"/>
      <c r="F24" s="1355"/>
      <c r="G24" s="21" t="s">
        <v>414</v>
      </c>
      <c r="H24" s="154" t="s">
        <v>415</v>
      </c>
      <c r="I24" s="19">
        <v>4.0999999999999999E-4</v>
      </c>
      <c r="J24" s="155">
        <f>ROUND(3.6*I24*E20/1000,4)</f>
        <v>3.2000000000000002E-3</v>
      </c>
      <c r="K24" s="368"/>
      <c r="L24" s="368"/>
    </row>
    <row r="25" spans="1:12" ht="45" customHeight="1" x14ac:dyDescent="0.25">
      <c r="A25" s="1344"/>
      <c r="B25" s="1352"/>
      <c r="C25" s="1344"/>
      <c r="D25" s="1366"/>
      <c r="E25" s="1296"/>
      <c r="F25" s="1355"/>
      <c r="G25" s="21" t="s">
        <v>423</v>
      </c>
      <c r="H25" s="154" t="s">
        <v>424</v>
      </c>
      <c r="I25" s="19">
        <v>1.2E-4</v>
      </c>
      <c r="J25" s="155">
        <f>ROUND(3.6*I25*E20/1000,4)</f>
        <v>8.9999999999999998E-4</v>
      </c>
      <c r="K25" s="368"/>
      <c r="L25" s="368"/>
    </row>
    <row r="26" spans="1:12" ht="45" customHeight="1" x14ac:dyDescent="0.25">
      <c r="A26" s="1344"/>
      <c r="B26" s="1352"/>
      <c r="C26" s="1344"/>
      <c r="D26" s="1366"/>
      <c r="E26" s="1296"/>
      <c r="F26" s="1355"/>
      <c r="G26" s="158" t="s">
        <v>416</v>
      </c>
      <c r="H26" s="154" t="s">
        <v>57</v>
      </c>
      <c r="I26" s="19">
        <v>5.5999999999999995E-4</v>
      </c>
      <c r="J26" s="155">
        <f>ROUND(3.6*I26*E20/1000,4)</f>
        <v>4.4000000000000003E-3</v>
      </c>
      <c r="K26" s="368"/>
      <c r="L26" s="368"/>
    </row>
    <row r="27" spans="1:12" ht="35.25" customHeight="1" x14ac:dyDescent="0.25">
      <c r="A27" s="1344"/>
      <c r="B27" s="1352"/>
      <c r="C27" s="1344"/>
      <c r="D27" s="1366"/>
      <c r="E27" s="1296"/>
      <c r="F27" s="1355"/>
      <c r="G27" s="158" t="s">
        <v>451</v>
      </c>
      <c r="H27" s="154" t="s">
        <v>452</v>
      </c>
      <c r="I27" s="19">
        <v>5.8E-4</v>
      </c>
      <c r="J27" s="155">
        <f>ROUND(3.6*I27*E20/1000,4)</f>
        <v>4.5999999999999999E-3</v>
      </c>
      <c r="K27" s="368"/>
      <c r="L27" s="368"/>
    </row>
    <row r="28" spans="1:12" ht="40.5" customHeight="1" x14ac:dyDescent="0.25">
      <c r="A28" s="1344"/>
      <c r="B28" s="1352"/>
      <c r="C28" s="1344"/>
      <c r="D28" s="1366"/>
      <c r="E28" s="1296"/>
      <c r="F28" s="1355"/>
      <c r="G28" s="21" t="s">
        <v>417</v>
      </c>
      <c r="H28" s="154" t="s">
        <v>226</v>
      </c>
      <c r="I28" s="19">
        <v>3.0000000000000001E-5</v>
      </c>
      <c r="J28" s="19">
        <f>ROUND(3.6*I28*E20/1000,5)</f>
        <v>2.4000000000000001E-4</v>
      </c>
      <c r="K28" s="287"/>
      <c r="L28" s="287"/>
    </row>
    <row r="29" spans="1:12" ht="29.25" customHeight="1" x14ac:dyDescent="0.25">
      <c r="A29" s="1344"/>
      <c r="B29" s="1352"/>
      <c r="C29" s="1344"/>
      <c r="D29" s="1366"/>
      <c r="E29" s="1296"/>
      <c r="F29" s="1355"/>
      <c r="G29" s="158" t="s">
        <v>425</v>
      </c>
      <c r="H29" s="154" t="s">
        <v>426</v>
      </c>
      <c r="I29" s="19">
        <v>8.3000000000000001E-4</v>
      </c>
      <c r="J29" s="19">
        <f>ROUND(3.6*I29*E20/1000,5)</f>
        <v>6.5399999999999998E-3</v>
      </c>
      <c r="K29" s="287"/>
      <c r="L29" s="287"/>
    </row>
    <row r="30" spans="1:12" ht="36" customHeight="1" x14ac:dyDescent="0.25">
      <c r="A30" s="1344"/>
      <c r="B30" s="1352"/>
      <c r="C30" s="1344"/>
      <c r="D30" s="1366"/>
      <c r="E30" s="1296"/>
      <c r="F30" s="1355"/>
      <c r="G30" s="158" t="s">
        <v>427</v>
      </c>
      <c r="H30" s="154" t="s">
        <v>428</v>
      </c>
      <c r="I30" s="19">
        <v>1.4590000000000001E-2</v>
      </c>
      <c r="J30" s="19">
        <f>ROUND(3.6*I30*E20/1000,5)</f>
        <v>0.11502999999999999</v>
      </c>
      <c r="K30" s="287"/>
      <c r="L30" s="287"/>
    </row>
    <row r="31" spans="1:12" ht="47.25" customHeight="1" x14ac:dyDescent="0.25">
      <c r="A31" s="1080"/>
      <c r="B31" s="1346"/>
      <c r="C31" s="1080"/>
      <c r="D31" s="1367"/>
      <c r="E31" s="1086"/>
      <c r="F31" s="1350"/>
      <c r="G31" s="158" t="s">
        <v>429</v>
      </c>
      <c r="H31" s="154" t="s">
        <v>430</v>
      </c>
      <c r="I31" s="19">
        <v>1.0000000000000001E-5</v>
      </c>
      <c r="J31" s="159">
        <f>ROUND(3.6*I31*E20/1000,5)</f>
        <v>8.0000000000000007E-5</v>
      </c>
      <c r="K31" s="731">
        <f>SUM(I20:I31)</f>
        <v>2.3840000000000004E-2</v>
      </c>
      <c r="L31" s="731">
        <f>SUM(J20:J31)</f>
        <v>0.18789</v>
      </c>
    </row>
    <row r="32" spans="1:12" ht="21.75" customHeight="1" x14ac:dyDescent="0.25">
      <c r="A32" s="1336">
        <v>2</v>
      </c>
      <c r="B32" s="1079" t="s">
        <v>432</v>
      </c>
      <c r="C32" s="1079" t="s">
        <v>433</v>
      </c>
      <c r="D32" s="1188" t="s">
        <v>431</v>
      </c>
      <c r="E32" s="1343">
        <v>2190</v>
      </c>
      <c r="F32" s="1349" t="s">
        <v>165</v>
      </c>
      <c r="G32" s="158" t="s">
        <v>420</v>
      </c>
      <c r="H32" s="154" t="s">
        <v>66</v>
      </c>
      <c r="I32" s="19">
        <v>2.2200000000000002E-3</v>
      </c>
      <c r="J32" s="155">
        <f>ROUND(3.6*I32*E32/1000,4)</f>
        <v>1.7500000000000002E-2</v>
      </c>
      <c r="K32" s="368"/>
      <c r="L32" s="368"/>
    </row>
    <row r="33" spans="1:13" ht="21.75" customHeight="1" x14ac:dyDescent="0.25">
      <c r="A33" s="1378"/>
      <c r="B33" s="1346"/>
      <c r="C33" s="1346"/>
      <c r="D33" s="1356"/>
      <c r="E33" s="1342"/>
      <c r="F33" s="1377"/>
      <c r="G33" s="158" t="s">
        <v>422</v>
      </c>
      <c r="H33" s="154" t="s">
        <v>52</v>
      </c>
      <c r="I33" s="19">
        <v>1.6800000000000001E-3</v>
      </c>
      <c r="J33" s="155">
        <f>ROUND(3.6*I33*E32/1000,4)</f>
        <v>1.32E-2</v>
      </c>
      <c r="K33" s="731">
        <f>SUM(I32:I33)</f>
        <v>3.9000000000000003E-3</v>
      </c>
      <c r="L33" s="731">
        <f>SUM(J32:J33)</f>
        <v>3.0700000000000002E-2</v>
      </c>
    </row>
    <row r="34" spans="1:13" ht="26.25" customHeight="1" x14ac:dyDescent="0.25">
      <c r="A34" s="1336">
        <v>3</v>
      </c>
      <c r="B34" s="1079" t="s">
        <v>434</v>
      </c>
      <c r="C34" s="1079" t="s">
        <v>435</v>
      </c>
      <c r="D34" s="1188" t="s">
        <v>436</v>
      </c>
      <c r="E34" s="1343">
        <v>2190</v>
      </c>
      <c r="F34" s="1349" t="s">
        <v>165</v>
      </c>
      <c r="G34" s="158" t="s">
        <v>420</v>
      </c>
      <c r="H34" s="154" t="s">
        <v>66</v>
      </c>
      <c r="I34" s="19">
        <v>4.4400000000000004E-3</v>
      </c>
      <c r="J34" s="155">
        <f>ROUND(3.6*I34*E34/1000,4)</f>
        <v>3.5000000000000003E-2</v>
      </c>
      <c r="K34" s="368"/>
      <c r="L34" s="368"/>
      <c r="M34" s="87"/>
    </row>
    <row r="35" spans="1:13" ht="38.25" customHeight="1" x14ac:dyDescent="0.25">
      <c r="A35" s="1378"/>
      <c r="B35" s="1346"/>
      <c r="C35" s="1346"/>
      <c r="D35" s="1356"/>
      <c r="E35" s="1342"/>
      <c r="F35" s="1377"/>
      <c r="G35" s="158" t="s">
        <v>422</v>
      </c>
      <c r="H35" s="154" t="s">
        <v>52</v>
      </c>
      <c r="I35" s="19">
        <v>1.6800000000000001E-3</v>
      </c>
      <c r="J35" s="155">
        <f>ROUND(3.6*I35*E34/1000,4)</f>
        <v>1.32E-2</v>
      </c>
      <c r="K35" s="731">
        <f>SUM(I34:I35)</f>
        <v>6.1200000000000004E-3</v>
      </c>
      <c r="L35" s="731">
        <f>SUM(J34:J35)</f>
        <v>4.8200000000000007E-2</v>
      </c>
      <c r="M35" s="87"/>
    </row>
    <row r="36" spans="1:13" x14ac:dyDescent="0.25">
      <c r="A36" s="1358">
        <v>4</v>
      </c>
      <c r="B36" s="1085" t="s">
        <v>455</v>
      </c>
      <c r="C36" s="1085" t="s">
        <v>1421</v>
      </c>
      <c r="D36" s="1359" t="s">
        <v>445</v>
      </c>
      <c r="E36" s="1343">
        <v>2190</v>
      </c>
      <c r="F36" s="1292" t="s">
        <v>165</v>
      </c>
      <c r="G36" s="160" t="s">
        <v>420</v>
      </c>
      <c r="H36" s="161" t="s">
        <v>66</v>
      </c>
      <c r="I36" s="25">
        <v>7.9000000000000001E-4</v>
      </c>
      <c r="J36" s="162">
        <f>ROUND(3.6*I36*E36/1000,4)</f>
        <v>6.1999999999999998E-3</v>
      </c>
      <c r="K36" s="368"/>
      <c r="L36" s="368"/>
    </row>
    <row r="37" spans="1:13" x14ac:dyDescent="0.25">
      <c r="A37" s="1337"/>
      <c r="B37" s="1339"/>
      <c r="C37" s="1339"/>
      <c r="D37" s="1360"/>
      <c r="E37" s="1354"/>
      <c r="F37" s="1293"/>
      <c r="G37" s="158" t="s">
        <v>421</v>
      </c>
      <c r="H37" s="154" t="s">
        <v>49</v>
      </c>
      <c r="I37" s="19">
        <v>2.3800000000000002E-3</v>
      </c>
      <c r="J37" s="155">
        <f>ROUND(3.6*I37*E36/1000,4)</f>
        <v>1.8800000000000001E-2</v>
      </c>
      <c r="K37" s="368"/>
      <c r="L37" s="368"/>
    </row>
    <row r="38" spans="1:13" x14ac:dyDescent="0.25">
      <c r="A38" s="1337"/>
      <c r="B38" s="1339"/>
      <c r="C38" s="1339"/>
      <c r="D38" s="1360"/>
      <c r="E38" s="1354"/>
      <c r="F38" s="1293"/>
      <c r="G38" s="158" t="s">
        <v>422</v>
      </c>
      <c r="H38" s="154" t="s">
        <v>52</v>
      </c>
      <c r="I38" s="163">
        <v>2.1099999999999999E-3</v>
      </c>
      <c r="J38" s="163">
        <f>ROUND(3.6*I38*E36/1000,4)</f>
        <v>1.66E-2</v>
      </c>
      <c r="K38" s="369"/>
      <c r="L38" s="369"/>
    </row>
    <row r="39" spans="1:13" x14ac:dyDescent="0.25">
      <c r="A39" s="1337"/>
      <c r="B39" s="1339"/>
      <c r="C39" s="1339"/>
      <c r="D39" s="1360"/>
      <c r="E39" s="1354"/>
      <c r="F39" s="1293"/>
      <c r="G39" s="21" t="s">
        <v>423</v>
      </c>
      <c r="H39" s="154" t="s">
        <v>424</v>
      </c>
      <c r="I39" s="19">
        <v>2.2399999999999998E-3</v>
      </c>
      <c r="J39" s="155">
        <f>ROUND(3.6*I39*E34/1000,4)</f>
        <v>1.77E-2</v>
      </c>
      <c r="K39" s="368"/>
      <c r="L39" s="368"/>
    </row>
    <row r="40" spans="1:13" x14ac:dyDescent="0.25">
      <c r="A40" s="1337"/>
      <c r="B40" s="1339"/>
      <c r="C40" s="1339"/>
      <c r="D40" s="1360"/>
      <c r="E40" s="1354"/>
      <c r="F40" s="1293"/>
      <c r="G40" s="160" t="s">
        <v>425</v>
      </c>
      <c r="H40" s="161" t="s">
        <v>426</v>
      </c>
      <c r="I40" s="25">
        <v>3.9500000000000001E-4</v>
      </c>
      <c r="J40" s="25">
        <f>ROUND(3.6*I40*E36/1000,5)</f>
        <v>3.1099999999999999E-3</v>
      </c>
      <c r="K40" s="287"/>
      <c r="L40" s="287"/>
    </row>
    <row r="41" spans="1:13" ht="15" customHeight="1" x14ac:dyDescent="0.25">
      <c r="A41" s="1338"/>
      <c r="B41" s="1340"/>
      <c r="C41" s="1340"/>
      <c r="D41" s="1361"/>
      <c r="E41" s="1348"/>
      <c r="F41" s="1357"/>
      <c r="G41" s="160" t="s">
        <v>427</v>
      </c>
      <c r="H41" s="161" t="s">
        <v>428</v>
      </c>
      <c r="I41" s="25">
        <v>3.9500000000000001E-4</v>
      </c>
      <c r="J41" s="25">
        <f>ROUND(3.6*I41*E36/1000,5)</f>
        <v>3.1099999999999999E-3</v>
      </c>
      <c r="K41" s="731">
        <f>SUM(I36:I41)</f>
        <v>8.3099999999999997E-3</v>
      </c>
      <c r="L41" s="731">
        <f>SUM(J36:J41)</f>
        <v>6.5519999999999995E-2</v>
      </c>
    </row>
    <row r="42" spans="1:13" x14ac:dyDescent="0.25">
      <c r="A42" s="1336">
        <v>5</v>
      </c>
      <c r="B42" s="1079" t="s">
        <v>457</v>
      </c>
      <c r="C42" s="1079" t="s">
        <v>1423</v>
      </c>
      <c r="D42" s="1188" t="s">
        <v>449</v>
      </c>
      <c r="E42" s="1343">
        <v>2190</v>
      </c>
      <c r="F42" s="1349" t="s">
        <v>165</v>
      </c>
      <c r="G42" s="158" t="s">
        <v>420</v>
      </c>
      <c r="H42" s="154" t="s">
        <v>66</v>
      </c>
      <c r="I42" s="19">
        <v>3.1700000000000001E-3</v>
      </c>
      <c r="J42" s="155">
        <f>ROUND(3.6*I42*E42/1000,4)</f>
        <v>2.5000000000000001E-2</v>
      </c>
      <c r="K42" s="368"/>
      <c r="L42" s="368"/>
    </row>
    <row r="43" spans="1:13" x14ac:dyDescent="0.25">
      <c r="A43" s="1351"/>
      <c r="B43" s="1352"/>
      <c r="C43" s="1352"/>
      <c r="D43" s="1353"/>
      <c r="E43" s="1354"/>
      <c r="F43" s="1355"/>
      <c r="G43" s="158" t="s">
        <v>421</v>
      </c>
      <c r="H43" s="154" t="s">
        <v>49</v>
      </c>
      <c r="I43" s="19">
        <v>3.1700000000000001E-3</v>
      </c>
      <c r="J43" s="155">
        <f>ROUND(3.6*I43*E42/1000,4)</f>
        <v>2.5000000000000001E-2</v>
      </c>
      <c r="K43" s="368"/>
      <c r="L43" s="368"/>
    </row>
    <row r="44" spans="1:13" x14ac:dyDescent="0.25">
      <c r="A44" s="1351"/>
      <c r="B44" s="1352"/>
      <c r="C44" s="1352"/>
      <c r="D44" s="1353"/>
      <c r="E44" s="1354"/>
      <c r="F44" s="1355"/>
      <c r="G44" s="158" t="s">
        <v>422</v>
      </c>
      <c r="H44" s="154" t="s">
        <v>52</v>
      </c>
      <c r="I44" s="60">
        <v>5.28E-3</v>
      </c>
      <c r="J44" s="60">
        <f>ROUND(3.6*I44*E42/1000,4)</f>
        <v>4.1599999999999998E-2</v>
      </c>
      <c r="K44" s="369"/>
      <c r="L44" s="369"/>
    </row>
    <row r="45" spans="1:13" x14ac:dyDescent="0.25">
      <c r="A45" s="1351"/>
      <c r="B45" s="1352"/>
      <c r="C45" s="1352"/>
      <c r="D45" s="1353"/>
      <c r="E45" s="1354"/>
      <c r="F45" s="1355"/>
      <c r="G45" s="158" t="s">
        <v>425</v>
      </c>
      <c r="H45" s="154" t="s">
        <v>426</v>
      </c>
      <c r="I45" s="19">
        <v>1.585E-3</v>
      </c>
      <c r="J45" s="19">
        <f>ROUND(3.6*I45*E42/1000,5)</f>
        <v>1.2500000000000001E-2</v>
      </c>
      <c r="K45" s="287"/>
      <c r="L45" s="287"/>
    </row>
    <row r="46" spans="1:13" x14ac:dyDescent="0.25">
      <c r="A46" s="1351"/>
      <c r="B46" s="1352"/>
      <c r="C46" s="1352"/>
      <c r="D46" s="1353"/>
      <c r="E46" s="1354"/>
      <c r="F46" s="1355"/>
      <c r="G46" s="158" t="s">
        <v>427</v>
      </c>
      <c r="H46" s="154" t="s">
        <v>428</v>
      </c>
      <c r="I46" s="19">
        <v>1.585E-3</v>
      </c>
      <c r="J46" s="19">
        <f>ROUND(3.6*I46*E42/1000,5)</f>
        <v>1.2500000000000001E-2</v>
      </c>
      <c r="K46" s="287"/>
      <c r="L46" s="287"/>
    </row>
    <row r="47" spans="1:13" x14ac:dyDescent="0.25">
      <c r="A47" s="1345"/>
      <c r="B47" s="1346"/>
      <c r="C47" s="1346"/>
      <c r="D47" s="1347"/>
      <c r="E47" s="1348"/>
      <c r="F47" s="1350"/>
      <c r="G47" s="158" t="s">
        <v>429</v>
      </c>
      <c r="H47" s="154" t="s">
        <v>430</v>
      </c>
      <c r="I47" s="19">
        <v>1.0000000000000001E-5</v>
      </c>
      <c r="J47" s="19">
        <f>ROUND(3.6*I47*E42/1000,4)</f>
        <v>1E-4</v>
      </c>
      <c r="K47" s="731">
        <f>SUM(I42:I47)</f>
        <v>1.4799999999999999E-2</v>
      </c>
      <c r="L47" s="731">
        <f>SUM(J42:J47)</f>
        <v>0.1167</v>
      </c>
    </row>
    <row r="48" spans="1:13" ht="21" customHeight="1" x14ac:dyDescent="0.25">
      <c r="A48" s="1336">
        <v>6</v>
      </c>
      <c r="B48" s="1079" t="s">
        <v>460</v>
      </c>
      <c r="C48" s="1079" t="s">
        <v>461</v>
      </c>
      <c r="D48" s="1188" t="s">
        <v>453</v>
      </c>
      <c r="E48" s="1343">
        <v>2190</v>
      </c>
      <c r="F48" s="1349" t="s">
        <v>165</v>
      </c>
      <c r="G48" s="158" t="s">
        <v>421</v>
      </c>
      <c r="H48" s="154" t="s">
        <v>49</v>
      </c>
      <c r="I48" s="19">
        <v>3.96E-3</v>
      </c>
      <c r="J48" s="155">
        <f>ROUND(3.6*I48*E48/1000,4)</f>
        <v>3.1199999999999999E-2</v>
      </c>
      <c r="K48" s="368"/>
      <c r="L48" s="368"/>
    </row>
    <row r="49" spans="1:12" ht="21" customHeight="1" x14ac:dyDescent="0.25">
      <c r="A49" s="1351"/>
      <c r="B49" s="1352"/>
      <c r="C49" s="1352"/>
      <c r="D49" s="1353"/>
      <c r="E49" s="1354"/>
      <c r="F49" s="1355"/>
      <c r="G49" s="158" t="s">
        <v>422</v>
      </c>
      <c r="H49" s="154" t="s">
        <v>52</v>
      </c>
      <c r="I49" s="19">
        <v>2.64E-3</v>
      </c>
      <c r="J49" s="155">
        <f>ROUND(3.6*I49*E48/1000,4)</f>
        <v>2.0799999999999999E-2</v>
      </c>
      <c r="K49" s="368"/>
      <c r="L49" s="368"/>
    </row>
    <row r="50" spans="1:12" ht="21" customHeight="1" x14ac:dyDescent="0.25">
      <c r="A50" s="1345"/>
      <c r="B50" s="1346"/>
      <c r="C50" s="1346"/>
      <c r="D50" s="1347"/>
      <c r="E50" s="1348"/>
      <c r="F50" s="1350"/>
      <c r="G50" s="158" t="s">
        <v>425</v>
      </c>
      <c r="H50" s="154" t="s">
        <v>426</v>
      </c>
      <c r="I50" s="19">
        <v>1.32E-3</v>
      </c>
      <c r="J50" s="155">
        <f>ROUND(3.6*I50*E48/1000,4)</f>
        <v>1.04E-2</v>
      </c>
      <c r="K50" s="731">
        <f>SUM(I48:I50)</f>
        <v>7.92E-3</v>
      </c>
      <c r="L50" s="731">
        <f>SUM(J48:J50)</f>
        <v>6.2399999999999997E-2</v>
      </c>
    </row>
    <row r="51" spans="1:12" x14ac:dyDescent="0.25">
      <c r="A51" s="1336">
        <v>7</v>
      </c>
      <c r="B51" s="1079" t="s">
        <v>463</v>
      </c>
      <c r="C51" s="1079" t="s">
        <v>1424</v>
      </c>
      <c r="D51" s="1188" t="s">
        <v>454</v>
      </c>
      <c r="E51" s="1343">
        <v>2190</v>
      </c>
      <c r="F51" s="940" t="s">
        <v>165</v>
      </c>
      <c r="G51" s="158" t="s">
        <v>416</v>
      </c>
      <c r="H51" s="154" t="s">
        <v>57</v>
      </c>
      <c r="I51" s="19">
        <v>5.28E-3</v>
      </c>
      <c r="J51" s="155">
        <f>ROUND(3.6*I51*E51/1000,4)</f>
        <v>4.1599999999999998E-2</v>
      </c>
      <c r="K51" s="368"/>
      <c r="L51" s="368"/>
    </row>
    <row r="52" spans="1:12" x14ac:dyDescent="0.25">
      <c r="A52" s="1337"/>
      <c r="B52" s="1339"/>
      <c r="C52" s="1339"/>
      <c r="D52" s="1341"/>
      <c r="E52" s="1341"/>
      <c r="F52" s="940"/>
      <c r="G52" s="158" t="s">
        <v>451</v>
      </c>
      <c r="H52" s="154" t="s">
        <v>452</v>
      </c>
      <c r="I52" s="19">
        <v>6.3299999999999997E-3</v>
      </c>
      <c r="J52" s="155">
        <f>ROUND(3.6*I52*E51/1000,4)</f>
        <v>4.99E-2</v>
      </c>
      <c r="K52" s="368"/>
      <c r="L52" s="368"/>
    </row>
    <row r="53" spans="1:12" ht="38.25" x14ac:dyDescent="0.25">
      <c r="A53" s="1338"/>
      <c r="B53" s="1340"/>
      <c r="C53" s="1340"/>
      <c r="D53" s="1342"/>
      <c r="E53" s="1342"/>
      <c r="F53" s="941"/>
      <c r="G53" s="21" t="s">
        <v>417</v>
      </c>
      <c r="H53" s="154" t="s">
        <v>226</v>
      </c>
      <c r="I53" s="60">
        <v>3.2000000000000003E-4</v>
      </c>
      <c r="J53" s="60">
        <f>ROUND(3.6*I53*E51/1000,4)</f>
        <v>2.5000000000000001E-3</v>
      </c>
      <c r="K53" s="731">
        <f>SUM(I51:I53)</f>
        <v>1.193E-2</v>
      </c>
      <c r="L53" s="731">
        <f>SUM(J51:J53)</f>
        <v>9.4E-2</v>
      </c>
    </row>
    <row r="54" spans="1:12" x14ac:dyDescent="0.25">
      <c r="A54" s="1336">
        <v>8</v>
      </c>
      <c r="B54" s="1079" t="s">
        <v>463</v>
      </c>
      <c r="C54" s="1079" t="s">
        <v>466</v>
      </c>
      <c r="D54" s="1188" t="s">
        <v>456</v>
      </c>
      <c r="E54" s="1343">
        <v>2190</v>
      </c>
      <c r="F54" s="940" t="s">
        <v>165</v>
      </c>
      <c r="G54" s="158" t="s">
        <v>416</v>
      </c>
      <c r="H54" s="154" t="s">
        <v>57</v>
      </c>
      <c r="I54" s="19">
        <v>5.28E-3</v>
      </c>
      <c r="J54" s="155">
        <f>ROUND(3.6*I54*E54/1000,4)</f>
        <v>4.1599999999999998E-2</v>
      </c>
      <c r="K54" s="368"/>
      <c r="L54" s="368"/>
    </row>
    <row r="55" spans="1:12" x14ac:dyDescent="0.25">
      <c r="A55" s="1337"/>
      <c r="B55" s="1339"/>
      <c r="C55" s="1339"/>
      <c r="D55" s="1341"/>
      <c r="E55" s="1341"/>
      <c r="F55" s="940"/>
      <c r="G55" s="158" t="s">
        <v>451</v>
      </c>
      <c r="H55" s="154" t="s">
        <v>452</v>
      </c>
      <c r="I55" s="19">
        <v>4.7499999999999999E-3</v>
      </c>
      <c r="J55" s="155">
        <f>ROUND(3.6*I55*E54/1000,4)</f>
        <v>3.7400000000000003E-2</v>
      </c>
      <c r="K55" s="368"/>
      <c r="L55" s="368"/>
    </row>
    <row r="56" spans="1:12" ht="38.25" x14ac:dyDescent="0.25">
      <c r="A56" s="1338"/>
      <c r="B56" s="1340"/>
      <c r="C56" s="1340"/>
      <c r="D56" s="1342"/>
      <c r="E56" s="1342"/>
      <c r="F56" s="941"/>
      <c r="G56" s="21" t="s">
        <v>417</v>
      </c>
      <c r="H56" s="154" t="s">
        <v>226</v>
      </c>
      <c r="I56" s="60">
        <v>1.6000000000000001E-4</v>
      </c>
      <c r="J56" s="60">
        <f>ROUND(3.6*I56*E54/1000,4)</f>
        <v>1.2999999999999999E-3</v>
      </c>
      <c r="K56" s="731">
        <f>SUM(I54:I56)</f>
        <v>1.0190000000000001E-2</v>
      </c>
      <c r="L56" s="731">
        <f>SUM(J54:J56)</f>
        <v>8.0299999999999996E-2</v>
      </c>
    </row>
    <row r="57" spans="1:12" x14ac:dyDescent="0.25">
      <c r="A57" s="1336">
        <v>9</v>
      </c>
      <c r="B57" s="1079" t="s">
        <v>468</v>
      </c>
      <c r="C57" s="1079" t="s">
        <v>469</v>
      </c>
      <c r="D57" s="1188" t="s">
        <v>459</v>
      </c>
      <c r="E57" s="1343">
        <v>2190</v>
      </c>
      <c r="F57" s="1349" t="s">
        <v>165</v>
      </c>
      <c r="G57" s="158" t="s">
        <v>420</v>
      </c>
      <c r="H57" s="154" t="s">
        <v>66</v>
      </c>
      <c r="I57" s="19">
        <v>7.9000000000000001E-4</v>
      </c>
      <c r="J57" s="155">
        <f>ROUND(3.6*I57*E57/1000,4)</f>
        <v>6.1999999999999998E-3</v>
      </c>
      <c r="K57" s="368"/>
      <c r="L57" s="368"/>
    </row>
    <row r="58" spans="1:12" x14ac:dyDescent="0.25">
      <c r="A58" s="1351"/>
      <c r="B58" s="1352"/>
      <c r="C58" s="1352"/>
      <c r="D58" s="1353"/>
      <c r="E58" s="1354"/>
      <c r="F58" s="1355"/>
      <c r="G58" s="158" t="s">
        <v>421</v>
      </c>
      <c r="H58" s="154" t="s">
        <v>49</v>
      </c>
      <c r="I58" s="19">
        <v>1.25E-3</v>
      </c>
      <c r="J58" s="155">
        <f>ROUND(3.6*I58*E57/1000,4)</f>
        <v>9.9000000000000008E-3</v>
      </c>
      <c r="K58" s="368"/>
      <c r="L58" s="368"/>
    </row>
    <row r="59" spans="1:12" x14ac:dyDescent="0.25">
      <c r="A59" s="1351"/>
      <c r="B59" s="1352"/>
      <c r="C59" s="1352"/>
      <c r="D59" s="1353"/>
      <c r="E59" s="1354"/>
      <c r="F59" s="1355"/>
      <c r="G59" s="158" t="s">
        <v>422</v>
      </c>
      <c r="H59" s="154" t="s">
        <v>52</v>
      </c>
      <c r="I59" s="60">
        <v>2.64E-3</v>
      </c>
      <c r="J59" s="60">
        <f>ROUND(3.6*I59*E57/1000,4)</f>
        <v>2.0799999999999999E-2</v>
      </c>
      <c r="K59" s="369"/>
      <c r="L59" s="369"/>
    </row>
    <row r="60" spans="1:12" x14ac:dyDescent="0.25">
      <c r="A60" s="1351"/>
      <c r="B60" s="1352"/>
      <c r="C60" s="1352"/>
      <c r="D60" s="1353"/>
      <c r="E60" s="1354"/>
      <c r="F60" s="1355"/>
      <c r="G60" s="160" t="s">
        <v>425</v>
      </c>
      <c r="H60" s="161" t="s">
        <v>426</v>
      </c>
      <c r="I60" s="25">
        <v>3.9500000000000001E-4</v>
      </c>
      <c r="J60" s="25">
        <f>ROUND(3.6*I60*E57/1000,5)</f>
        <v>3.1099999999999999E-3</v>
      </c>
      <c r="K60" s="287"/>
      <c r="L60" s="287"/>
    </row>
    <row r="61" spans="1:12" x14ac:dyDescent="0.25">
      <c r="A61" s="1345"/>
      <c r="B61" s="1346"/>
      <c r="C61" s="1346"/>
      <c r="D61" s="1347"/>
      <c r="E61" s="1348"/>
      <c r="F61" s="1350"/>
      <c r="G61" s="160" t="s">
        <v>427</v>
      </c>
      <c r="H61" s="161" t="s">
        <v>428</v>
      </c>
      <c r="I61" s="25">
        <v>3.9500000000000001E-4</v>
      </c>
      <c r="J61" s="25">
        <f>ROUND(3.6*I61*E57/1000,5)</f>
        <v>3.1099999999999999E-3</v>
      </c>
      <c r="K61" s="731">
        <f>SUM(I57:I61)</f>
        <v>5.4700000000000009E-3</v>
      </c>
      <c r="L61" s="731">
        <f>SUM(J57:J61)</f>
        <v>4.3120000000000006E-2</v>
      </c>
    </row>
    <row r="62" spans="1:12" s="24" customFormat="1" x14ac:dyDescent="0.25">
      <c r="A62" s="1336">
        <v>10</v>
      </c>
      <c r="B62" s="1079" t="s">
        <v>471</v>
      </c>
      <c r="C62" s="1079" t="s">
        <v>1420</v>
      </c>
      <c r="D62" s="1188" t="s">
        <v>462</v>
      </c>
      <c r="E62" s="1343">
        <v>2190</v>
      </c>
      <c r="F62" s="1079" t="s">
        <v>1526</v>
      </c>
      <c r="G62" s="160" t="s">
        <v>420</v>
      </c>
      <c r="H62" s="161" t="s">
        <v>66</v>
      </c>
      <c r="I62" s="25">
        <v>8.4000000000000003E-4</v>
      </c>
      <c r="J62" s="162">
        <f>ROUND(3.6*I62*E62/1000,4)</f>
        <v>6.6E-3</v>
      </c>
      <c r="K62" s="726"/>
      <c r="L62" s="726"/>
    </row>
    <row r="63" spans="1:12" s="24" customFormat="1" x14ac:dyDescent="0.25">
      <c r="A63" s="1351"/>
      <c r="B63" s="1352"/>
      <c r="C63" s="1352"/>
      <c r="D63" s="1353"/>
      <c r="E63" s="1354"/>
      <c r="F63" s="1344"/>
      <c r="G63" s="160" t="s">
        <v>421</v>
      </c>
      <c r="H63" s="161" t="s">
        <v>49</v>
      </c>
      <c r="I63" s="25">
        <v>4.3600000000000002E-3</v>
      </c>
      <c r="J63" s="162">
        <f>ROUND(3.6*I63*E62/1000,4)</f>
        <v>3.44E-2</v>
      </c>
      <c r="K63" s="726"/>
      <c r="L63" s="726"/>
    </row>
    <row r="64" spans="1:12" s="24" customFormat="1" x14ac:dyDescent="0.25">
      <c r="A64" s="1351"/>
      <c r="B64" s="1352"/>
      <c r="C64" s="1352"/>
      <c r="D64" s="1353"/>
      <c r="E64" s="1354"/>
      <c r="F64" s="1344"/>
      <c r="G64" s="160" t="s">
        <v>422</v>
      </c>
      <c r="H64" s="161" t="s">
        <v>52</v>
      </c>
      <c r="I64" s="163">
        <v>4.0899999999999999E-3</v>
      </c>
      <c r="J64" s="163">
        <f>ROUND(3.6*I64*E62/1000,4)</f>
        <v>3.2199999999999999E-2</v>
      </c>
      <c r="K64" s="727"/>
      <c r="L64" s="727"/>
    </row>
    <row r="65" spans="1:12" s="24" customFormat="1" x14ac:dyDescent="0.25">
      <c r="A65" s="1351"/>
      <c r="B65" s="1352"/>
      <c r="C65" s="1352"/>
      <c r="D65" s="1353"/>
      <c r="E65" s="1354"/>
      <c r="F65" s="1344"/>
      <c r="G65" s="160" t="s">
        <v>427</v>
      </c>
      <c r="H65" s="161" t="s">
        <v>428</v>
      </c>
      <c r="I65" s="25">
        <v>2.1649999999999998E-3</v>
      </c>
      <c r="J65" s="25">
        <f>ROUND(3.6*I65*E62/1000,5)</f>
        <v>1.7069999999999998E-2</v>
      </c>
      <c r="K65" s="728"/>
      <c r="L65" s="728"/>
    </row>
    <row r="66" spans="1:12" s="24" customFormat="1" x14ac:dyDescent="0.25">
      <c r="A66" s="1351"/>
      <c r="B66" s="1352"/>
      <c r="C66" s="1352"/>
      <c r="D66" s="1353"/>
      <c r="E66" s="1354"/>
      <c r="F66" s="1344"/>
      <c r="G66" s="160" t="s">
        <v>425</v>
      </c>
      <c r="H66" s="161" t="s">
        <v>426</v>
      </c>
      <c r="I66" s="25">
        <v>1.9550000000000001E-3</v>
      </c>
      <c r="J66" s="162">
        <f>ROUND(3.6*I66*E62/1000,4)</f>
        <v>1.54E-2</v>
      </c>
      <c r="K66" s="726"/>
      <c r="L66" s="726"/>
    </row>
    <row r="67" spans="1:12" s="24" customFormat="1" x14ac:dyDescent="0.25">
      <c r="A67" s="1345"/>
      <c r="B67" s="1346"/>
      <c r="C67" s="1346"/>
      <c r="D67" s="1347"/>
      <c r="E67" s="1348"/>
      <c r="F67" s="1080"/>
      <c r="G67" s="160" t="s">
        <v>429</v>
      </c>
      <c r="H67" s="161" t="s">
        <v>430</v>
      </c>
      <c r="I67" s="25">
        <v>6.9999999999999994E-5</v>
      </c>
      <c r="J67" s="25">
        <f>ROUND(3.6*I67*E62/1000,4)</f>
        <v>5.9999999999999995E-4</v>
      </c>
      <c r="K67" s="732">
        <f>SUM(I62:I67)</f>
        <v>1.3480000000000001E-2</v>
      </c>
      <c r="L67" s="732">
        <f>SUM(J62:J67)</f>
        <v>0.10627</v>
      </c>
    </row>
    <row r="68" spans="1:12" x14ac:dyDescent="0.25">
      <c r="A68" s="1336">
        <v>11</v>
      </c>
      <c r="B68" s="1079" t="s">
        <v>473</v>
      </c>
      <c r="C68" s="1079" t="s">
        <v>474</v>
      </c>
      <c r="D68" s="1188" t="s">
        <v>465</v>
      </c>
      <c r="E68" s="1343">
        <v>2190</v>
      </c>
      <c r="F68" s="1349" t="s">
        <v>165</v>
      </c>
      <c r="G68" s="158" t="s">
        <v>425</v>
      </c>
      <c r="H68" s="154" t="s">
        <v>426</v>
      </c>
      <c r="I68" s="19">
        <v>1.32E-3</v>
      </c>
      <c r="J68" s="155">
        <f>ROUND(3.6*I68*E68/1000,4)</f>
        <v>1.04E-2</v>
      </c>
      <c r="K68" s="368"/>
      <c r="L68" s="368"/>
    </row>
    <row r="69" spans="1:12" ht="38.25" customHeight="1" x14ac:dyDescent="0.25">
      <c r="A69" s="1345"/>
      <c r="B69" s="1346"/>
      <c r="C69" s="1346"/>
      <c r="D69" s="1347"/>
      <c r="E69" s="1348"/>
      <c r="F69" s="1350"/>
      <c r="G69" s="158" t="s">
        <v>427</v>
      </c>
      <c r="H69" s="154" t="s">
        <v>428</v>
      </c>
      <c r="I69" s="19">
        <v>2.64E-3</v>
      </c>
      <c r="J69" s="155">
        <f>ROUND(3.6*I69*E68/1000,4)</f>
        <v>2.0799999999999999E-2</v>
      </c>
      <c r="K69" s="731">
        <f>SUM(I68:I69)</f>
        <v>3.96E-3</v>
      </c>
      <c r="L69" s="731">
        <f>SUM(J68:J69)</f>
        <v>3.1199999999999999E-2</v>
      </c>
    </row>
    <row r="70" spans="1:12" x14ac:dyDescent="0.25">
      <c r="A70" s="61" t="s">
        <v>438</v>
      </c>
      <c r="B70" s="517"/>
      <c r="C70" s="517"/>
      <c r="J70" s="164"/>
      <c r="K70" s="733">
        <f>SUM(K31:K69)</f>
        <v>0.10992000000000002</v>
      </c>
      <c r="L70" s="733">
        <f>SUM(L31:L69)</f>
        <v>0.86630000000000007</v>
      </c>
    </row>
    <row r="71" spans="1:12" x14ac:dyDescent="0.25">
      <c r="A71" s="1370" t="s">
        <v>147</v>
      </c>
      <c r="B71" s="1371"/>
      <c r="C71" s="1371"/>
      <c r="D71" s="1371"/>
      <c r="E71" s="1371"/>
      <c r="F71" s="1371"/>
      <c r="G71" s="1371"/>
      <c r="H71" s="1371"/>
      <c r="I71" s="1371"/>
      <c r="J71" s="1372"/>
      <c r="K71" s="729"/>
      <c r="L71" s="729"/>
    </row>
    <row r="72" spans="1:12" x14ac:dyDescent="0.25">
      <c r="A72" s="1373" t="s">
        <v>498</v>
      </c>
      <c r="B72" s="1045"/>
      <c r="C72" s="1045"/>
      <c r="D72" s="1045"/>
      <c r="E72" s="1045"/>
      <c r="F72" s="1045"/>
      <c r="G72" s="1045"/>
      <c r="H72" s="1045"/>
      <c r="I72" s="1045"/>
      <c r="J72" s="1046"/>
      <c r="K72" s="730"/>
      <c r="L72" s="730"/>
    </row>
    <row r="73" spans="1:12" ht="36" customHeight="1" x14ac:dyDescent="0.25">
      <c r="A73" s="1055">
        <v>1</v>
      </c>
      <c r="B73" s="1079" t="s">
        <v>450</v>
      </c>
      <c r="C73" s="1079" t="s">
        <v>979</v>
      </c>
      <c r="D73" s="1365" t="s">
        <v>419</v>
      </c>
      <c r="E73" s="1085">
        <v>8760</v>
      </c>
      <c r="F73" s="1349" t="s">
        <v>1483</v>
      </c>
      <c r="G73" s="158" t="s">
        <v>420</v>
      </c>
      <c r="H73" s="154" t="s">
        <v>66</v>
      </c>
      <c r="I73" s="19">
        <v>2E-3</v>
      </c>
      <c r="J73" s="155">
        <f>ROUND(3.6*I73*E73/1000,4)</f>
        <v>6.3100000000000003E-2</v>
      </c>
      <c r="K73" s="368"/>
      <c r="L73" s="368"/>
    </row>
    <row r="74" spans="1:12" ht="36" customHeight="1" x14ac:dyDescent="0.25">
      <c r="A74" s="1363"/>
      <c r="B74" s="1344"/>
      <c r="C74" s="1344"/>
      <c r="D74" s="1366"/>
      <c r="E74" s="1296"/>
      <c r="F74" s="1355"/>
      <c r="G74" s="158" t="s">
        <v>421</v>
      </c>
      <c r="H74" s="154" t="s">
        <v>49</v>
      </c>
      <c r="I74" s="19">
        <v>1.83E-3</v>
      </c>
      <c r="J74" s="155">
        <f>ROUND(3.6*I74*E73/1000,4)</f>
        <v>5.7700000000000001E-2</v>
      </c>
      <c r="K74" s="368"/>
      <c r="L74" s="368"/>
    </row>
    <row r="75" spans="1:12" ht="36" customHeight="1" x14ac:dyDescent="0.25">
      <c r="A75" s="1363"/>
      <c r="B75" s="1344"/>
      <c r="C75" s="1344"/>
      <c r="D75" s="1366"/>
      <c r="E75" s="1296"/>
      <c r="F75" s="1355"/>
      <c r="G75" s="158" t="s">
        <v>422</v>
      </c>
      <c r="H75" s="154" t="s">
        <v>52</v>
      </c>
      <c r="I75" s="19">
        <v>2.3800000000000002E-3</v>
      </c>
      <c r="J75" s="155">
        <f>ROUND(3.6*I75*E73/1000,4)</f>
        <v>7.51E-2</v>
      </c>
      <c r="K75" s="368"/>
      <c r="L75" s="368"/>
    </row>
    <row r="76" spans="1:12" ht="36" customHeight="1" x14ac:dyDescent="0.25">
      <c r="A76" s="1363"/>
      <c r="B76" s="1352"/>
      <c r="C76" s="1344"/>
      <c r="D76" s="1366"/>
      <c r="E76" s="1296"/>
      <c r="F76" s="1355"/>
      <c r="G76" s="21" t="s">
        <v>175</v>
      </c>
      <c r="H76" s="59" t="s">
        <v>176</v>
      </c>
      <c r="I76" s="19">
        <v>5.0000000000000001E-4</v>
      </c>
      <c r="J76" s="155">
        <f>ROUND(3.6*I76*E73/1000,4)</f>
        <v>1.5800000000000002E-2</v>
      </c>
      <c r="K76" s="368"/>
      <c r="L76" s="368"/>
    </row>
    <row r="77" spans="1:12" ht="45" customHeight="1" x14ac:dyDescent="0.25">
      <c r="A77" s="1363"/>
      <c r="B77" s="1352"/>
      <c r="C77" s="1344"/>
      <c r="D77" s="1366"/>
      <c r="E77" s="1296"/>
      <c r="F77" s="1355"/>
      <c r="G77" s="21" t="s">
        <v>414</v>
      </c>
      <c r="H77" s="154" t="s">
        <v>415</v>
      </c>
      <c r="I77" s="19">
        <v>4.0999999999999999E-4</v>
      </c>
      <c r="J77" s="155">
        <f>ROUND(3.6*I77*E73/1000,4)</f>
        <v>1.29E-2</v>
      </c>
      <c r="K77" s="368"/>
      <c r="L77" s="368"/>
    </row>
    <row r="78" spans="1:12" ht="45" customHeight="1" x14ac:dyDescent="0.25">
      <c r="A78" s="1363"/>
      <c r="B78" s="1352"/>
      <c r="C78" s="1344"/>
      <c r="D78" s="1366"/>
      <c r="E78" s="1296"/>
      <c r="F78" s="1355"/>
      <c r="G78" s="21" t="s">
        <v>423</v>
      </c>
      <c r="H78" s="154" t="s">
        <v>424</v>
      </c>
      <c r="I78" s="19">
        <v>1.2E-4</v>
      </c>
      <c r="J78" s="155">
        <f>ROUND(3.6*I78*E73/1000,4)</f>
        <v>3.8E-3</v>
      </c>
      <c r="K78" s="368"/>
      <c r="L78" s="368"/>
    </row>
    <row r="79" spans="1:12" ht="45" customHeight="1" x14ac:dyDescent="0.25">
      <c r="A79" s="1363"/>
      <c r="B79" s="1352"/>
      <c r="C79" s="1344"/>
      <c r="D79" s="1366"/>
      <c r="E79" s="1296"/>
      <c r="F79" s="1355"/>
      <c r="G79" s="158" t="s">
        <v>416</v>
      </c>
      <c r="H79" s="154" t="s">
        <v>57</v>
      </c>
      <c r="I79" s="19">
        <v>5.5999999999999995E-4</v>
      </c>
      <c r="J79" s="155">
        <f>ROUND(3.6*I79*E73/1000,4)</f>
        <v>1.77E-2</v>
      </c>
      <c r="K79" s="368"/>
      <c r="L79" s="368"/>
    </row>
    <row r="80" spans="1:12" ht="35.25" customHeight="1" x14ac:dyDescent="0.25">
      <c r="A80" s="1363"/>
      <c r="B80" s="1352"/>
      <c r="C80" s="1344"/>
      <c r="D80" s="1366"/>
      <c r="E80" s="1296"/>
      <c r="F80" s="1355"/>
      <c r="G80" s="158" t="s">
        <v>451</v>
      </c>
      <c r="H80" s="154" t="s">
        <v>452</v>
      </c>
      <c r="I80" s="19">
        <v>5.8E-4</v>
      </c>
      <c r="J80" s="155">
        <f>ROUND(3.6*I80*E73/1000,4)</f>
        <v>1.83E-2</v>
      </c>
      <c r="K80" s="368"/>
      <c r="L80" s="368"/>
    </row>
    <row r="81" spans="1:13" ht="40.5" customHeight="1" x14ac:dyDescent="0.25">
      <c r="A81" s="1363"/>
      <c r="B81" s="1352"/>
      <c r="C81" s="1344"/>
      <c r="D81" s="1366"/>
      <c r="E81" s="1296"/>
      <c r="F81" s="1355"/>
      <c r="G81" s="21" t="s">
        <v>417</v>
      </c>
      <c r="H81" s="154" t="s">
        <v>226</v>
      </c>
      <c r="I81" s="19">
        <v>3.0000000000000001E-5</v>
      </c>
      <c r="J81" s="19">
        <f>ROUND(3.6*I81*E73/1000,5)</f>
        <v>9.5E-4</v>
      </c>
      <c r="K81" s="287"/>
      <c r="L81" s="287"/>
    </row>
    <row r="82" spans="1:13" ht="29.25" customHeight="1" x14ac:dyDescent="0.25">
      <c r="A82" s="1363"/>
      <c r="B82" s="1352"/>
      <c r="C82" s="1344"/>
      <c r="D82" s="1366"/>
      <c r="E82" s="1296"/>
      <c r="F82" s="1355"/>
      <c r="G82" s="158" t="s">
        <v>425</v>
      </c>
      <c r="H82" s="154" t="s">
        <v>426</v>
      </c>
      <c r="I82" s="19">
        <v>8.3000000000000001E-4</v>
      </c>
      <c r="J82" s="19">
        <f>ROUND(3.6*I82*E73/1000,5)</f>
        <v>2.6169999999999999E-2</v>
      </c>
      <c r="K82" s="287"/>
      <c r="L82" s="287"/>
    </row>
    <row r="83" spans="1:13" ht="36" customHeight="1" x14ac:dyDescent="0.25">
      <c r="A83" s="1363"/>
      <c r="B83" s="1352"/>
      <c r="C83" s="1344"/>
      <c r="D83" s="1366"/>
      <c r="E83" s="1296"/>
      <c r="F83" s="1355"/>
      <c r="G83" s="158" t="s">
        <v>427</v>
      </c>
      <c r="H83" s="154" t="s">
        <v>428</v>
      </c>
      <c r="I83" s="19">
        <v>1.4590000000000001E-2</v>
      </c>
      <c r="J83" s="19">
        <f>ROUND(3.6*I83*E73/1000,5)</f>
        <v>0.46011000000000002</v>
      </c>
      <c r="K83" s="287"/>
      <c r="L83" s="287"/>
    </row>
    <row r="84" spans="1:13" ht="40.5" customHeight="1" x14ac:dyDescent="0.25">
      <c r="A84" s="1364"/>
      <c r="B84" s="1346"/>
      <c r="C84" s="1080"/>
      <c r="D84" s="1367"/>
      <c r="E84" s="1086"/>
      <c r="F84" s="1350"/>
      <c r="G84" s="158" t="s">
        <v>429</v>
      </c>
      <c r="H84" s="154" t="s">
        <v>430</v>
      </c>
      <c r="I84" s="19">
        <v>1.0000000000000001E-5</v>
      </c>
      <c r="J84" s="159">
        <f>ROUND(3.6*I84*E73/1000,5)</f>
        <v>3.2000000000000003E-4</v>
      </c>
      <c r="K84" s="731">
        <f>SUM(I73:I84)</f>
        <v>2.3840000000000004E-2</v>
      </c>
      <c r="L84" s="731">
        <f>SUM(J73:J84)</f>
        <v>0.75195000000000001</v>
      </c>
    </row>
    <row r="85" spans="1:13" ht="21.75" customHeight="1" x14ac:dyDescent="0.25">
      <c r="A85" s="1336">
        <v>2</v>
      </c>
      <c r="B85" s="1079" t="s">
        <v>432</v>
      </c>
      <c r="C85" s="1079" t="s">
        <v>433</v>
      </c>
      <c r="D85" s="1188" t="s">
        <v>431</v>
      </c>
      <c r="E85" s="1343">
        <v>8760</v>
      </c>
      <c r="F85" s="1349" t="s">
        <v>165</v>
      </c>
      <c r="G85" s="158" t="s">
        <v>420</v>
      </c>
      <c r="H85" s="154" t="s">
        <v>66</v>
      </c>
      <c r="I85" s="19">
        <v>2.2200000000000002E-3</v>
      </c>
      <c r="J85" s="155">
        <f>ROUND(3.6*I85*E85/1000,4)</f>
        <v>7.0000000000000007E-2</v>
      </c>
      <c r="K85" s="368"/>
      <c r="L85" s="368"/>
    </row>
    <row r="86" spans="1:13" ht="21.75" customHeight="1" x14ac:dyDescent="0.25">
      <c r="A86" s="1378"/>
      <c r="B86" s="1346"/>
      <c r="C86" s="1346"/>
      <c r="D86" s="1356"/>
      <c r="E86" s="1342"/>
      <c r="F86" s="1377"/>
      <c r="G86" s="158" t="s">
        <v>422</v>
      </c>
      <c r="H86" s="154" t="s">
        <v>52</v>
      </c>
      <c r="I86" s="19">
        <v>1.6800000000000001E-3</v>
      </c>
      <c r="J86" s="155">
        <f>ROUND(3.6*I86*E85/1000,4)</f>
        <v>5.2999999999999999E-2</v>
      </c>
      <c r="K86" s="731">
        <f>SUM(I85:I86)</f>
        <v>3.9000000000000003E-3</v>
      </c>
      <c r="L86" s="731">
        <f>SUM(J85:J86)</f>
        <v>0.123</v>
      </c>
    </row>
    <row r="87" spans="1:13" ht="26.25" customHeight="1" x14ac:dyDescent="0.25">
      <c r="A87" s="1336">
        <v>3</v>
      </c>
      <c r="B87" s="1079" t="s">
        <v>434</v>
      </c>
      <c r="C87" s="1079" t="s">
        <v>435</v>
      </c>
      <c r="D87" s="1188" t="s">
        <v>436</v>
      </c>
      <c r="E87" s="1343">
        <v>8760</v>
      </c>
      <c r="F87" s="1349" t="s">
        <v>165</v>
      </c>
      <c r="G87" s="158" t="s">
        <v>420</v>
      </c>
      <c r="H87" s="154" t="s">
        <v>66</v>
      </c>
      <c r="I87" s="19">
        <v>4.4400000000000004E-3</v>
      </c>
      <c r="J87" s="155">
        <f>ROUND(3.6*I87*E87/1000,4)</f>
        <v>0.14000000000000001</v>
      </c>
      <c r="K87" s="368"/>
      <c r="L87" s="368"/>
      <c r="M87" s="87"/>
    </row>
    <row r="88" spans="1:13" ht="38.25" customHeight="1" x14ac:dyDescent="0.25">
      <c r="A88" s="1378"/>
      <c r="B88" s="1346"/>
      <c r="C88" s="1346"/>
      <c r="D88" s="1356"/>
      <c r="E88" s="1342"/>
      <c r="F88" s="1377"/>
      <c r="G88" s="158" t="s">
        <v>422</v>
      </c>
      <c r="H88" s="154" t="s">
        <v>52</v>
      </c>
      <c r="I88" s="19">
        <v>1.6800000000000001E-3</v>
      </c>
      <c r="J88" s="155">
        <f>ROUND(3.6*I88*E87/1000,4)</f>
        <v>5.2999999999999999E-2</v>
      </c>
      <c r="K88" s="731">
        <f>SUM(I87:I88)</f>
        <v>6.1200000000000004E-3</v>
      </c>
      <c r="L88" s="731">
        <f>SUM(J87:J88)</f>
        <v>0.193</v>
      </c>
      <c r="M88" s="87"/>
    </row>
    <row r="89" spans="1:13" ht="15" customHeight="1" x14ac:dyDescent="0.25">
      <c r="A89" s="1358">
        <v>4</v>
      </c>
      <c r="B89" s="1085" t="s">
        <v>455</v>
      </c>
      <c r="C89" s="1085" t="s">
        <v>1421</v>
      </c>
      <c r="D89" s="1359" t="s">
        <v>445</v>
      </c>
      <c r="E89" s="1343">
        <v>8760</v>
      </c>
      <c r="F89" s="1292" t="s">
        <v>165</v>
      </c>
      <c r="G89" s="160" t="s">
        <v>420</v>
      </c>
      <c r="H89" s="161" t="s">
        <v>66</v>
      </c>
      <c r="I89" s="25">
        <v>7.9000000000000001E-4</v>
      </c>
      <c r="J89" s="162">
        <f>ROUND(3.6*I89*E89/1000,4)</f>
        <v>2.4899999999999999E-2</v>
      </c>
      <c r="K89" s="368"/>
      <c r="L89" s="368"/>
    </row>
    <row r="90" spans="1:13" x14ac:dyDescent="0.25">
      <c r="A90" s="1337"/>
      <c r="B90" s="1339"/>
      <c r="C90" s="1339"/>
      <c r="D90" s="1360"/>
      <c r="E90" s="1354"/>
      <c r="F90" s="1293"/>
      <c r="G90" s="158" t="s">
        <v>421</v>
      </c>
      <c r="H90" s="154" t="s">
        <v>49</v>
      </c>
      <c r="I90" s="19">
        <v>2.3800000000000002E-3</v>
      </c>
      <c r="J90" s="155">
        <f>ROUND(3.6*I90*E89/1000,4)</f>
        <v>7.51E-2</v>
      </c>
      <c r="K90" s="368"/>
      <c r="L90" s="368"/>
    </row>
    <row r="91" spans="1:13" x14ac:dyDescent="0.25">
      <c r="A91" s="1337"/>
      <c r="B91" s="1339"/>
      <c r="C91" s="1339"/>
      <c r="D91" s="1360"/>
      <c r="E91" s="1354"/>
      <c r="F91" s="1293"/>
      <c r="G91" s="158" t="s">
        <v>422</v>
      </c>
      <c r="H91" s="154" t="s">
        <v>52</v>
      </c>
      <c r="I91" s="163">
        <v>2.1099999999999999E-3</v>
      </c>
      <c r="J91" s="163">
        <f>ROUND(3.6*I91*E89/1000,4)</f>
        <v>6.6500000000000004E-2</v>
      </c>
      <c r="K91" s="369"/>
      <c r="L91" s="369"/>
    </row>
    <row r="92" spans="1:13" x14ac:dyDescent="0.25">
      <c r="A92" s="1337"/>
      <c r="B92" s="1339"/>
      <c r="C92" s="1339"/>
      <c r="D92" s="1360"/>
      <c r="E92" s="1354"/>
      <c r="F92" s="1293"/>
      <c r="G92" s="21" t="s">
        <v>423</v>
      </c>
      <c r="H92" s="154" t="s">
        <v>424</v>
      </c>
      <c r="I92" s="19">
        <v>2.2399999999999998E-3</v>
      </c>
      <c r="J92" s="155">
        <f>ROUND(3.6*I92*E87/1000,4)</f>
        <v>7.0599999999999996E-2</v>
      </c>
      <c r="K92" s="368"/>
      <c r="L92" s="368"/>
    </row>
    <row r="93" spans="1:13" x14ac:dyDescent="0.25">
      <c r="A93" s="1337"/>
      <c r="B93" s="1339"/>
      <c r="C93" s="1339"/>
      <c r="D93" s="1360"/>
      <c r="E93" s="1354"/>
      <c r="F93" s="1293"/>
      <c r="G93" s="160" t="s">
        <v>425</v>
      </c>
      <c r="H93" s="161" t="s">
        <v>426</v>
      </c>
      <c r="I93" s="25">
        <v>3.9500000000000001E-4</v>
      </c>
      <c r="J93" s="25">
        <f>ROUND(3.6*I93*E89/1000,5)</f>
        <v>1.2460000000000001E-2</v>
      </c>
      <c r="K93" s="287"/>
      <c r="L93" s="287"/>
    </row>
    <row r="94" spans="1:13" ht="15" customHeight="1" x14ac:dyDescent="0.25">
      <c r="A94" s="1338"/>
      <c r="B94" s="1340"/>
      <c r="C94" s="1340"/>
      <c r="D94" s="1361"/>
      <c r="E94" s="1348"/>
      <c r="F94" s="1357"/>
      <c r="G94" s="160" t="s">
        <v>427</v>
      </c>
      <c r="H94" s="161" t="s">
        <v>428</v>
      </c>
      <c r="I94" s="25">
        <v>3.9500000000000001E-4</v>
      </c>
      <c r="J94" s="25">
        <f>ROUND(3.6*I94*E89/1000,5)</f>
        <v>1.2460000000000001E-2</v>
      </c>
      <c r="K94" s="731">
        <f>SUM(I89:I94)</f>
        <v>8.3099999999999997E-3</v>
      </c>
      <c r="L94" s="731">
        <f>SUM(J89:J94)</f>
        <v>0.26202000000000003</v>
      </c>
    </row>
    <row r="95" spans="1:13" x14ac:dyDescent="0.25">
      <c r="A95" s="1336">
        <v>5</v>
      </c>
      <c r="B95" s="1079" t="s">
        <v>457</v>
      </c>
      <c r="C95" s="1079" t="s">
        <v>458</v>
      </c>
      <c r="D95" s="1188" t="s">
        <v>449</v>
      </c>
      <c r="E95" s="1343">
        <v>8760</v>
      </c>
      <c r="F95" s="1349" t="s">
        <v>165</v>
      </c>
      <c r="G95" s="158" t="s">
        <v>420</v>
      </c>
      <c r="H95" s="154" t="s">
        <v>66</v>
      </c>
      <c r="I95" s="19">
        <v>3.1700000000000001E-3</v>
      </c>
      <c r="J95" s="155">
        <f>ROUND(3.6*I95*E95/1000,4)</f>
        <v>0.1</v>
      </c>
      <c r="K95" s="368"/>
      <c r="L95" s="368"/>
    </row>
    <row r="96" spans="1:13" x14ac:dyDescent="0.25">
      <c r="A96" s="1351"/>
      <c r="B96" s="1352"/>
      <c r="C96" s="1352"/>
      <c r="D96" s="1353"/>
      <c r="E96" s="1354"/>
      <c r="F96" s="1355"/>
      <c r="G96" s="158" t="s">
        <v>421</v>
      </c>
      <c r="H96" s="154" t="s">
        <v>49</v>
      </c>
      <c r="I96" s="19">
        <v>3.1700000000000001E-3</v>
      </c>
      <c r="J96" s="155">
        <f>ROUND(3.6*I96*E95/1000,4)</f>
        <v>0.1</v>
      </c>
      <c r="K96" s="368"/>
      <c r="L96" s="368"/>
    </row>
    <row r="97" spans="1:12" x14ac:dyDescent="0.25">
      <c r="A97" s="1351"/>
      <c r="B97" s="1352"/>
      <c r="C97" s="1352"/>
      <c r="D97" s="1353"/>
      <c r="E97" s="1354"/>
      <c r="F97" s="1355"/>
      <c r="G97" s="158" t="s">
        <v>422</v>
      </c>
      <c r="H97" s="154" t="s">
        <v>52</v>
      </c>
      <c r="I97" s="60">
        <v>5.28E-3</v>
      </c>
      <c r="J97" s="60">
        <f>ROUND(3.6*I97*E95/1000,4)</f>
        <v>0.16650000000000001</v>
      </c>
      <c r="K97" s="369"/>
      <c r="L97" s="369"/>
    </row>
    <row r="98" spans="1:12" x14ac:dyDescent="0.25">
      <c r="A98" s="1351"/>
      <c r="B98" s="1352"/>
      <c r="C98" s="1352"/>
      <c r="D98" s="1353"/>
      <c r="E98" s="1354"/>
      <c r="F98" s="1355"/>
      <c r="G98" s="158" t="s">
        <v>425</v>
      </c>
      <c r="H98" s="154" t="s">
        <v>426</v>
      </c>
      <c r="I98" s="19">
        <v>1.585E-3</v>
      </c>
      <c r="J98" s="19">
        <f>ROUND(3.6*I98*E95/1000,5)</f>
        <v>4.9979999999999997E-2</v>
      </c>
      <c r="K98" s="287"/>
      <c r="L98" s="287"/>
    </row>
    <row r="99" spans="1:12" x14ac:dyDescent="0.25">
      <c r="A99" s="1351"/>
      <c r="B99" s="1352"/>
      <c r="C99" s="1352"/>
      <c r="D99" s="1353"/>
      <c r="E99" s="1354"/>
      <c r="F99" s="1355"/>
      <c r="G99" s="158" t="s">
        <v>427</v>
      </c>
      <c r="H99" s="154" t="s">
        <v>428</v>
      </c>
      <c r="I99" s="19">
        <v>1.585E-3</v>
      </c>
      <c r="J99" s="19">
        <f>ROUND(3.6*I99*E95/1000,5)</f>
        <v>4.9979999999999997E-2</v>
      </c>
      <c r="K99" s="287"/>
      <c r="L99" s="287"/>
    </row>
    <row r="100" spans="1:12" x14ac:dyDescent="0.25">
      <c r="A100" s="1345"/>
      <c r="B100" s="1346"/>
      <c r="C100" s="1346"/>
      <c r="D100" s="1347"/>
      <c r="E100" s="1348"/>
      <c r="F100" s="1350"/>
      <c r="G100" s="158" t="s">
        <v>429</v>
      </c>
      <c r="H100" s="154" t="s">
        <v>430</v>
      </c>
      <c r="I100" s="19">
        <v>1.0000000000000001E-5</v>
      </c>
      <c r="J100" s="19">
        <f>ROUND(3.6*I100*E95/1000,4)</f>
        <v>2.9999999999999997E-4</v>
      </c>
      <c r="K100" s="731">
        <f>SUM(I95:I100)</f>
        <v>1.4799999999999999E-2</v>
      </c>
      <c r="L100" s="731">
        <f>SUM(J95:J100)</f>
        <v>0.46676000000000012</v>
      </c>
    </row>
    <row r="101" spans="1:12" ht="21.75" customHeight="1" x14ac:dyDescent="0.25">
      <c r="A101" s="1336">
        <v>6</v>
      </c>
      <c r="B101" s="1079" t="s">
        <v>460</v>
      </c>
      <c r="C101" s="1079" t="s">
        <v>461</v>
      </c>
      <c r="D101" s="1188" t="s">
        <v>453</v>
      </c>
      <c r="E101" s="1343">
        <v>8760</v>
      </c>
      <c r="F101" s="1349" t="s">
        <v>165</v>
      </c>
      <c r="G101" s="158" t="s">
        <v>421</v>
      </c>
      <c r="H101" s="154" t="s">
        <v>49</v>
      </c>
      <c r="I101" s="19">
        <v>3.96E-3</v>
      </c>
      <c r="J101" s="155">
        <f>ROUND(3.6*I101*E101/1000,4)</f>
        <v>0.1249</v>
      </c>
      <c r="K101" s="368"/>
      <c r="L101" s="368"/>
    </row>
    <row r="102" spans="1:12" ht="21.75" customHeight="1" x14ac:dyDescent="0.25">
      <c r="A102" s="1351"/>
      <c r="B102" s="1352"/>
      <c r="C102" s="1352"/>
      <c r="D102" s="1353"/>
      <c r="E102" s="1354"/>
      <c r="F102" s="1355"/>
      <c r="G102" s="158" t="s">
        <v>422</v>
      </c>
      <c r="H102" s="154" t="s">
        <v>52</v>
      </c>
      <c r="I102" s="19">
        <v>2.64E-3</v>
      </c>
      <c r="J102" s="155">
        <f>ROUND(3.6*I102*E101/1000,4)</f>
        <v>8.3299999999999999E-2</v>
      </c>
      <c r="K102" s="368"/>
      <c r="L102" s="368"/>
    </row>
    <row r="103" spans="1:12" ht="21.75" customHeight="1" x14ac:dyDescent="0.25">
      <c r="A103" s="1345"/>
      <c r="B103" s="1346"/>
      <c r="C103" s="1346"/>
      <c r="D103" s="1347"/>
      <c r="E103" s="1348"/>
      <c r="F103" s="1350"/>
      <c r="G103" s="158" t="s">
        <v>425</v>
      </c>
      <c r="H103" s="154" t="s">
        <v>426</v>
      </c>
      <c r="I103" s="19">
        <v>1.32E-3</v>
      </c>
      <c r="J103" s="155">
        <f>ROUND(3.6*I103*E101/1000,4)</f>
        <v>4.1599999999999998E-2</v>
      </c>
      <c r="K103" s="731">
        <f>SUM(I101:I103)</f>
        <v>7.92E-3</v>
      </c>
      <c r="L103" s="731">
        <f>SUM(J101:J103)</f>
        <v>0.24979999999999999</v>
      </c>
    </row>
    <row r="104" spans="1:12" x14ac:dyDescent="0.25">
      <c r="A104" s="1336">
        <v>7</v>
      </c>
      <c r="B104" s="1079" t="s">
        <v>463</v>
      </c>
      <c r="C104" s="1079" t="s">
        <v>464</v>
      </c>
      <c r="D104" s="1188" t="s">
        <v>454</v>
      </c>
      <c r="E104" s="1343">
        <v>8760</v>
      </c>
      <c r="F104" s="940" t="s">
        <v>165</v>
      </c>
      <c r="G104" s="158" t="s">
        <v>416</v>
      </c>
      <c r="H104" s="154" t="s">
        <v>57</v>
      </c>
      <c r="I104" s="19">
        <v>5.28E-3</v>
      </c>
      <c r="J104" s="155">
        <f>ROUND(3.6*I104*E104/1000,4)</f>
        <v>0.16650000000000001</v>
      </c>
      <c r="K104" s="368"/>
      <c r="L104" s="368"/>
    </row>
    <row r="105" spans="1:12" x14ac:dyDescent="0.25">
      <c r="A105" s="1337"/>
      <c r="B105" s="1339"/>
      <c r="C105" s="1339"/>
      <c r="D105" s="1341"/>
      <c r="E105" s="1341"/>
      <c r="F105" s="940"/>
      <c r="G105" s="158" t="s">
        <v>451</v>
      </c>
      <c r="H105" s="154" t="s">
        <v>452</v>
      </c>
      <c r="I105" s="19">
        <v>6.3299999999999997E-3</v>
      </c>
      <c r="J105" s="155">
        <f>ROUND(3.6*I105*E104/1000,4)</f>
        <v>0.1996</v>
      </c>
      <c r="K105" s="368"/>
      <c r="L105" s="368"/>
    </row>
    <row r="106" spans="1:12" ht="38.25" x14ac:dyDescent="0.25">
      <c r="A106" s="1338"/>
      <c r="B106" s="1340"/>
      <c r="C106" s="1340"/>
      <c r="D106" s="1342"/>
      <c r="E106" s="1342"/>
      <c r="F106" s="941"/>
      <c r="G106" s="21" t="s">
        <v>417</v>
      </c>
      <c r="H106" s="154" t="s">
        <v>226</v>
      </c>
      <c r="I106" s="60">
        <v>3.2000000000000003E-4</v>
      </c>
      <c r="J106" s="60">
        <f>ROUND(3.6*I106*E104/1000,4)</f>
        <v>1.01E-2</v>
      </c>
      <c r="K106" s="731">
        <f>SUM(I104:I106)</f>
        <v>1.193E-2</v>
      </c>
      <c r="L106" s="731">
        <f>SUM(J104:J106)</f>
        <v>0.37619999999999998</v>
      </c>
    </row>
    <row r="107" spans="1:12" x14ac:dyDescent="0.25">
      <c r="A107" s="1336">
        <v>8</v>
      </c>
      <c r="B107" s="1079" t="s">
        <v>463</v>
      </c>
      <c r="C107" s="1079" t="s">
        <v>466</v>
      </c>
      <c r="D107" s="1188" t="s">
        <v>456</v>
      </c>
      <c r="E107" s="1343">
        <v>8760</v>
      </c>
      <c r="F107" s="1355" t="s">
        <v>165</v>
      </c>
      <c r="G107" s="158" t="s">
        <v>416</v>
      </c>
      <c r="H107" s="154" t="s">
        <v>57</v>
      </c>
      <c r="I107" s="19">
        <v>5.28E-3</v>
      </c>
      <c r="J107" s="155">
        <f>ROUND(3.6*I107*E107/1000,4)</f>
        <v>0.16650000000000001</v>
      </c>
      <c r="K107" s="368"/>
      <c r="L107" s="368"/>
    </row>
    <row r="108" spans="1:12" x14ac:dyDescent="0.25">
      <c r="A108" s="1337"/>
      <c r="B108" s="1339"/>
      <c r="C108" s="1339"/>
      <c r="D108" s="1341"/>
      <c r="E108" s="1341"/>
      <c r="F108" s="1355"/>
      <c r="G108" s="158" t="s">
        <v>451</v>
      </c>
      <c r="H108" s="154" t="s">
        <v>452</v>
      </c>
      <c r="I108" s="19">
        <v>4.7499999999999999E-3</v>
      </c>
      <c r="J108" s="155">
        <f>ROUND(3.6*I108*E107/1000,4)</f>
        <v>0.14979999999999999</v>
      </c>
      <c r="K108" s="368"/>
      <c r="L108" s="368"/>
    </row>
    <row r="109" spans="1:12" ht="38.25" x14ac:dyDescent="0.25">
      <c r="A109" s="1338"/>
      <c r="B109" s="1340"/>
      <c r="C109" s="1340"/>
      <c r="D109" s="1342"/>
      <c r="E109" s="1342"/>
      <c r="F109" s="1350"/>
      <c r="G109" s="21" t="s">
        <v>417</v>
      </c>
      <c r="H109" s="154" t="s">
        <v>226</v>
      </c>
      <c r="I109" s="60">
        <v>1.6000000000000001E-4</v>
      </c>
      <c r="J109" s="60">
        <f>ROUND(3.6*I109*E107/1000,4)</f>
        <v>5.0000000000000001E-3</v>
      </c>
      <c r="K109" s="731">
        <f>SUM(I107:I109)</f>
        <v>1.0190000000000001E-2</v>
      </c>
      <c r="L109" s="731">
        <f>SUM(J107:J109)</f>
        <v>0.32130000000000003</v>
      </c>
    </row>
    <row r="110" spans="1:12" x14ac:dyDescent="0.25">
      <c r="A110" s="1336">
        <v>9</v>
      </c>
      <c r="B110" s="1079" t="s">
        <v>468</v>
      </c>
      <c r="C110" s="1079" t="s">
        <v>469</v>
      </c>
      <c r="D110" s="1188" t="s">
        <v>459</v>
      </c>
      <c r="E110" s="1343">
        <v>8760</v>
      </c>
      <c r="F110" s="1349" t="s">
        <v>165</v>
      </c>
      <c r="G110" s="158" t="s">
        <v>420</v>
      </c>
      <c r="H110" s="154" t="s">
        <v>66</v>
      </c>
      <c r="I110" s="19">
        <v>7.9000000000000001E-4</v>
      </c>
      <c r="J110" s="155">
        <f>ROUND(3.6*I110*E110/1000,4)</f>
        <v>2.4899999999999999E-2</v>
      </c>
      <c r="K110" s="368"/>
      <c r="L110" s="368"/>
    </row>
    <row r="111" spans="1:12" x14ac:dyDescent="0.25">
      <c r="A111" s="1351"/>
      <c r="B111" s="1352"/>
      <c r="C111" s="1352"/>
      <c r="D111" s="1353"/>
      <c r="E111" s="1354"/>
      <c r="F111" s="1355"/>
      <c r="G111" s="158" t="s">
        <v>421</v>
      </c>
      <c r="H111" s="154" t="s">
        <v>49</v>
      </c>
      <c r="I111" s="19">
        <v>1.25E-3</v>
      </c>
      <c r="J111" s="155">
        <f>ROUND(3.6*I111*E110/1000,4)</f>
        <v>3.9399999999999998E-2</v>
      </c>
      <c r="K111" s="368"/>
      <c r="L111" s="368"/>
    </row>
    <row r="112" spans="1:12" x14ac:dyDescent="0.25">
      <c r="A112" s="1351"/>
      <c r="B112" s="1352"/>
      <c r="C112" s="1352"/>
      <c r="D112" s="1353"/>
      <c r="E112" s="1354"/>
      <c r="F112" s="1355"/>
      <c r="G112" s="158" t="s">
        <v>422</v>
      </c>
      <c r="H112" s="154" t="s">
        <v>52</v>
      </c>
      <c r="I112" s="60">
        <v>2.64E-3</v>
      </c>
      <c r="J112" s="60">
        <f>ROUND(3.6*I112*E110/1000,4)</f>
        <v>8.3299999999999999E-2</v>
      </c>
      <c r="K112" s="369"/>
      <c r="L112" s="369"/>
    </row>
    <row r="113" spans="1:15" x14ac:dyDescent="0.25">
      <c r="A113" s="1351"/>
      <c r="B113" s="1352"/>
      <c r="C113" s="1352"/>
      <c r="D113" s="1353"/>
      <c r="E113" s="1354"/>
      <c r="F113" s="1355"/>
      <c r="G113" s="160" t="s">
        <v>425</v>
      </c>
      <c r="H113" s="161" t="s">
        <v>426</v>
      </c>
      <c r="I113" s="25">
        <v>3.9500000000000001E-4</v>
      </c>
      <c r="J113" s="25">
        <f>ROUND(3.6*I113*E110/1000,5)</f>
        <v>1.2460000000000001E-2</v>
      </c>
      <c r="K113" s="287"/>
      <c r="L113" s="287"/>
    </row>
    <row r="114" spans="1:15" x14ac:dyDescent="0.25">
      <c r="A114" s="1345"/>
      <c r="B114" s="1346"/>
      <c r="C114" s="1346"/>
      <c r="D114" s="1347"/>
      <c r="E114" s="1348"/>
      <c r="F114" s="1350"/>
      <c r="G114" s="160" t="s">
        <v>427</v>
      </c>
      <c r="H114" s="161" t="s">
        <v>428</v>
      </c>
      <c r="I114" s="25">
        <v>3.9500000000000001E-4</v>
      </c>
      <c r="J114" s="25">
        <f>ROUND(3.6*I114*E110/1000,5)</f>
        <v>1.2460000000000001E-2</v>
      </c>
      <c r="K114" s="731">
        <f>SUM(I110:I114)</f>
        <v>5.4700000000000009E-3</v>
      </c>
      <c r="L114" s="731">
        <f>SUM(J110:J114)</f>
        <v>0.17252000000000001</v>
      </c>
    </row>
    <row r="115" spans="1:15" s="24" customFormat="1" ht="15" customHeight="1" x14ac:dyDescent="0.25">
      <c r="A115" s="1336">
        <v>10</v>
      </c>
      <c r="B115" s="1079" t="s">
        <v>471</v>
      </c>
      <c r="C115" s="1079" t="s">
        <v>1422</v>
      </c>
      <c r="D115" s="1188" t="s">
        <v>462</v>
      </c>
      <c r="E115" s="1343">
        <v>8760</v>
      </c>
      <c r="F115" s="1079" t="s">
        <v>1526</v>
      </c>
      <c r="G115" s="158" t="s">
        <v>420</v>
      </c>
      <c r="H115" s="154" t="s">
        <v>66</v>
      </c>
      <c r="I115" s="25">
        <v>8.4000000000000003E-4</v>
      </c>
      <c r="J115" s="155">
        <f>ROUND(3.6*I115*E115/1000,4)</f>
        <v>2.6499999999999999E-2</v>
      </c>
      <c r="K115" s="726"/>
      <c r="L115" s="726"/>
    </row>
    <row r="116" spans="1:15" s="24" customFormat="1" x14ac:dyDescent="0.25">
      <c r="A116" s="1351"/>
      <c r="B116" s="1352"/>
      <c r="C116" s="1352"/>
      <c r="D116" s="1353"/>
      <c r="E116" s="1354"/>
      <c r="F116" s="1344"/>
      <c r="G116" s="158" t="s">
        <v>421</v>
      </c>
      <c r="H116" s="154" t="s">
        <v>49</v>
      </c>
      <c r="I116" s="25">
        <v>4.3600000000000002E-3</v>
      </c>
      <c r="J116" s="155">
        <f>ROUND(3.6*I116*E115/1000,4)</f>
        <v>0.13750000000000001</v>
      </c>
      <c r="K116" s="726"/>
      <c r="L116" s="726"/>
    </row>
    <row r="117" spans="1:15" s="24" customFormat="1" x14ac:dyDescent="0.25">
      <c r="A117" s="1351"/>
      <c r="B117" s="1352"/>
      <c r="C117" s="1352"/>
      <c r="D117" s="1353"/>
      <c r="E117" s="1354"/>
      <c r="F117" s="1344"/>
      <c r="G117" s="158" t="s">
        <v>422</v>
      </c>
      <c r="H117" s="154" t="s">
        <v>52</v>
      </c>
      <c r="I117" s="163">
        <v>4.0899999999999999E-3</v>
      </c>
      <c r="J117" s="60">
        <f>ROUND(3.6*I117*E115/1000,4)</f>
        <v>0.129</v>
      </c>
      <c r="K117" s="727"/>
      <c r="L117" s="727"/>
    </row>
    <row r="118" spans="1:15" s="24" customFormat="1" x14ac:dyDescent="0.25">
      <c r="A118" s="1351"/>
      <c r="B118" s="1352"/>
      <c r="C118" s="1352"/>
      <c r="D118" s="1353"/>
      <c r="E118" s="1354"/>
      <c r="F118" s="1344"/>
      <c r="G118" s="158" t="s">
        <v>427</v>
      </c>
      <c r="H118" s="154" t="s">
        <v>428</v>
      </c>
      <c r="I118" s="25">
        <v>2.1649999999999998E-3</v>
      </c>
      <c r="J118" s="19">
        <f>ROUND(3.6*I118*E115/1000,5)</f>
        <v>6.8279999999999993E-2</v>
      </c>
      <c r="K118" s="728"/>
      <c r="L118" s="728"/>
    </row>
    <row r="119" spans="1:15" s="24" customFormat="1" x14ac:dyDescent="0.25">
      <c r="A119" s="1351"/>
      <c r="B119" s="1352"/>
      <c r="C119" s="1352"/>
      <c r="D119" s="1353"/>
      <c r="E119" s="1354"/>
      <c r="F119" s="1344"/>
      <c r="G119" s="158" t="s">
        <v>425</v>
      </c>
      <c r="H119" s="154" t="s">
        <v>426</v>
      </c>
      <c r="I119" s="25">
        <v>1.9550000000000001E-3</v>
      </c>
      <c r="J119" s="155">
        <f>ROUND(3.6*I119*E115/1000,4)</f>
        <v>6.1699999999999998E-2</v>
      </c>
      <c r="K119" s="726"/>
      <c r="L119" s="726"/>
    </row>
    <row r="120" spans="1:15" s="24" customFormat="1" x14ac:dyDescent="0.25">
      <c r="A120" s="1345"/>
      <c r="B120" s="1346"/>
      <c r="C120" s="1346"/>
      <c r="D120" s="1347"/>
      <c r="E120" s="1348"/>
      <c r="F120" s="1080"/>
      <c r="G120" s="158" t="s">
        <v>429</v>
      </c>
      <c r="H120" s="154" t="s">
        <v>430</v>
      </c>
      <c r="I120" s="25">
        <v>6.9999999999999994E-5</v>
      </c>
      <c r="J120" s="19">
        <f>ROUND(3.6*I120*E115/1000,4)</f>
        <v>2.2000000000000001E-3</v>
      </c>
      <c r="K120" s="732">
        <f>SUM(I115:I120)</f>
        <v>1.3480000000000001E-2</v>
      </c>
      <c r="L120" s="732">
        <f>SUM(J115:J120)</f>
        <v>0.42518</v>
      </c>
      <c r="N120" s="24">
        <v>1.9010000000000003E-2</v>
      </c>
      <c r="O120" s="24">
        <v>0.59958000000000011</v>
      </c>
    </row>
    <row r="121" spans="1:15" x14ac:dyDescent="0.25">
      <c r="A121" s="1336">
        <v>11</v>
      </c>
      <c r="B121" s="1079" t="s">
        <v>473</v>
      </c>
      <c r="C121" s="1079" t="s">
        <v>474</v>
      </c>
      <c r="D121" s="1188" t="s">
        <v>465</v>
      </c>
      <c r="E121" s="1343">
        <v>8760</v>
      </c>
      <c r="F121" s="1349" t="s">
        <v>165</v>
      </c>
      <c r="G121" s="158" t="s">
        <v>425</v>
      </c>
      <c r="H121" s="154" t="s">
        <v>426</v>
      </c>
      <c r="I121" s="19">
        <v>1.32E-3</v>
      </c>
      <c r="J121" s="155">
        <f>ROUND(3.6*I121*E121/1000,4)</f>
        <v>4.1599999999999998E-2</v>
      </c>
      <c r="K121" s="368"/>
      <c r="L121" s="368"/>
    </row>
    <row r="122" spans="1:15" ht="38.25" customHeight="1" x14ac:dyDescent="0.25">
      <c r="A122" s="1345"/>
      <c r="B122" s="1346"/>
      <c r="C122" s="1346"/>
      <c r="D122" s="1347"/>
      <c r="E122" s="1348"/>
      <c r="F122" s="1350"/>
      <c r="G122" s="158" t="s">
        <v>427</v>
      </c>
      <c r="H122" s="154" t="s">
        <v>428</v>
      </c>
      <c r="I122" s="19">
        <v>2.64E-3</v>
      </c>
      <c r="J122" s="155">
        <f>ROUND(3.6*I122*E121/1000,4)</f>
        <v>8.3299999999999999E-2</v>
      </c>
      <c r="K122" s="731">
        <f>SUM(I121:I122)</f>
        <v>3.96E-3</v>
      </c>
      <c r="L122" s="731">
        <f>SUM(J121:J122)</f>
        <v>0.1249</v>
      </c>
    </row>
    <row r="123" spans="1:15" ht="15" customHeight="1" x14ac:dyDescent="0.25">
      <c r="A123" s="61" t="s">
        <v>438</v>
      </c>
      <c r="B123" s="517"/>
      <c r="C123" s="517"/>
      <c r="J123" s="164"/>
      <c r="K123" s="733">
        <f>SUM(K84:K122)</f>
        <v>0.10992000000000002</v>
      </c>
      <c r="L123" s="733">
        <f>SUM(L84:L122)</f>
        <v>3.4666299999999994</v>
      </c>
    </row>
    <row r="124" spans="1:15" x14ac:dyDescent="0.25">
      <c r="A124" s="61"/>
      <c r="B124" s="517"/>
      <c r="C124" s="517"/>
    </row>
  </sheetData>
  <mergeCells count="150">
    <mergeCell ref="A14:M14"/>
    <mergeCell ref="A1:I1"/>
    <mergeCell ref="A5:I5"/>
    <mergeCell ref="A7:I7"/>
    <mergeCell ref="A9:I9"/>
    <mergeCell ref="A10:I10"/>
    <mergeCell ref="A3:J3"/>
    <mergeCell ref="A12:J12"/>
    <mergeCell ref="F95:F100"/>
    <mergeCell ref="C89:C94"/>
    <mergeCell ref="D89:D94"/>
    <mergeCell ref="E89:E94"/>
    <mergeCell ref="F85:F86"/>
    <mergeCell ref="A87:A88"/>
    <mergeCell ref="B87:B88"/>
    <mergeCell ref="C87:C88"/>
    <mergeCell ref="D87:D88"/>
    <mergeCell ref="E87:E88"/>
    <mergeCell ref="F87:F88"/>
    <mergeCell ref="A85:A86"/>
    <mergeCell ref="B85:B86"/>
    <mergeCell ref="C85:C86"/>
    <mergeCell ref="D85:D86"/>
    <mergeCell ref="E85:E86"/>
    <mergeCell ref="B20:B31"/>
    <mergeCell ref="A101:A103"/>
    <mergeCell ref="B101:B103"/>
    <mergeCell ref="C101:C103"/>
    <mergeCell ref="D101:D103"/>
    <mergeCell ref="E101:E103"/>
    <mergeCell ref="F101:F103"/>
    <mergeCell ref="A95:A100"/>
    <mergeCell ref="B95:B100"/>
    <mergeCell ref="C95:C100"/>
    <mergeCell ref="D95:D100"/>
    <mergeCell ref="E95:E100"/>
    <mergeCell ref="C20:C31"/>
    <mergeCell ref="D20:D31"/>
    <mergeCell ref="E20:E31"/>
    <mergeCell ref="F20:F31"/>
    <mergeCell ref="F32:F33"/>
    <mergeCell ref="A34:A35"/>
    <mergeCell ref="B34:B35"/>
    <mergeCell ref="C34:C35"/>
    <mergeCell ref="D34:D35"/>
    <mergeCell ref="E34:E35"/>
    <mergeCell ref="F34:F35"/>
    <mergeCell ref="A32:A33"/>
    <mergeCell ref="F107:F109"/>
    <mergeCell ref="F89:F94"/>
    <mergeCell ref="A89:A94"/>
    <mergeCell ref="B89:B94"/>
    <mergeCell ref="H15:H16"/>
    <mergeCell ref="I15:J15"/>
    <mergeCell ref="A73:A84"/>
    <mergeCell ref="C73:C84"/>
    <mergeCell ref="D73:D84"/>
    <mergeCell ref="E73:E84"/>
    <mergeCell ref="F73:F84"/>
    <mergeCell ref="B15:B16"/>
    <mergeCell ref="B73:B84"/>
    <mergeCell ref="A15:A16"/>
    <mergeCell ref="C15:C16"/>
    <mergeCell ref="D15:D16"/>
    <mergeCell ref="E15:E16"/>
    <mergeCell ref="F15:F16"/>
    <mergeCell ref="G15:G16"/>
    <mergeCell ref="A71:J71"/>
    <mergeCell ref="A72:J72"/>
    <mergeCell ref="A18:J18"/>
    <mergeCell ref="A19:J19"/>
    <mergeCell ref="A20:A31"/>
    <mergeCell ref="F121:F122"/>
    <mergeCell ref="A121:A122"/>
    <mergeCell ref="B121:B122"/>
    <mergeCell ref="C121:C122"/>
    <mergeCell ref="D121:D122"/>
    <mergeCell ref="E121:E122"/>
    <mergeCell ref="F110:F114"/>
    <mergeCell ref="A115:A120"/>
    <mergeCell ref="B115:B120"/>
    <mergeCell ref="C115:C120"/>
    <mergeCell ref="D115:D120"/>
    <mergeCell ref="E115:E120"/>
    <mergeCell ref="F115:F120"/>
    <mergeCell ref="A110:A114"/>
    <mergeCell ref="B110:B114"/>
    <mergeCell ref="C110:C114"/>
    <mergeCell ref="D110:D114"/>
    <mergeCell ref="E110:E114"/>
    <mergeCell ref="B32:B33"/>
    <mergeCell ref="C32:C33"/>
    <mergeCell ref="D32:D33"/>
    <mergeCell ref="E32:E33"/>
    <mergeCell ref="F36:F41"/>
    <mergeCell ref="A42:A47"/>
    <mergeCell ref="B42:B47"/>
    <mergeCell ref="C42:C47"/>
    <mergeCell ref="D42:D47"/>
    <mergeCell ref="E42:E47"/>
    <mergeCell ref="F42:F47"/>
    <mergeCell ref="A36:A41"/>
    <mergeCell ref="B36:B41"/>
    <mergeCell ref="C36:C41"/>
    <mergeCell ref="D36:D41"/>
    <mergeCell ref="E36:E41"/>
    <mergeCell ref="A57:A61"/>
    <mergeCell ref="B57:B61"/>
    <mergeCell ref="C57:C61"/>
    <mergeCell ref="D57:D61"/>
    <mergeCell ref="E57:E61"/>
    <mergeCell ref="F57:F61"/>
    <mergeCell ref="F48:F50"/>
    <mergeCell ref="A48:A50"/>
    <mergeCell ref="B48:B50"/>
    <mergeCell ref="C48:C50"/>
    <mergeCell ref="D48:D50"/>
    <mergeCell ref="E48:E50"/>
    <mergeCell ref="A51:A53"/>
    <mergeCell ref="B51:B53"/>
    <mergeCell ref="C51:C53"/>
    <mergeCell ref="D51:D53"/>
    <mergeCell ref="E51:E53"/>
    <mergeCell ref="A54:A56"/>
    <mergeCell ref="B54:B56"/>
    <mergeCell ref="C54:C56"/>
    <mergeCell ref="D54:D56"/>
    <mergeCell ref="E54:E56"/>
    <mergeCell ref="F62:F67"/>
    <mergeCell ref="A68:A69"/>
    <mergeCell ref="B68:B69"/>
    <mergeCell ref="C68:C69"/>
    <mergeCell ref="D68:D69"/>
    <mergeCell ref="E68:E69"/>
    <mergeCell ref="F68:F69"/>
    <mergeCell ref="A62:A67"/>
    <mergeCell ref="B62:B67"/>
    <mergeCell ref="C62:C67"/>
    <mergeCell ref="D62:D67"/>
    <mergeCell ref="E62:E67"/>
    <mergeCell ref="A104:A106"/>
    <mergeCell ref="B104:B106"/>
    <mergeCell ref="C104:C106"/>
    <mergeCell ref="D104:D106"/>
    <mergeCell ref="E104:E106"/>
    <mergeCell ref="A107:A109"/>
    <mergeCell ref="B107:B109"/>
    <mergeCell ref="C107:C109"/>
    <mergeCell ref="D107:D109"/>
    <mergeCell ref="E107:E109"/>
  </mergeCells>
  <pageMargins left="0.31496062992125984" right="0.31496062992125984" top="0.78740157480314965" bottom="0.39370078740157483" header="0.31496062992125984" footer="0.19685039370078741"/>
  <pageSetup paperSize="9" firstPageNumber="46" orientation="landscape" useFirstPageNumber="1" r:id="rId1"/>
  <headerFoot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X255"/>
  <sheetViews>
    <sheetView view="pageBreakPreview" topLeftCell="A163" zoomScale="85" zoomScaleNormal="100" zoomScaleSheetLayoutView="85" workbookViewId="0">
      <selection activeCell="D168" sqref="D168:D172"/>
    </sheetView>
  </sheetViews>
  <sheetFormatPr defaultRowHeight="15" x14ac:dyDescent="0.25"/>
  <cols>
    <col min="1" max="1" width="5.42578125" customWidth="1"/>
    <col min="2" max="2" width="22.28515625" style="480" customWidth="1"/>
    <col min="3" max="3" width="43" style="480" customWidth="1"/>
    <col min="4" max="4" width="8.7109375" style="921" customWidth="1"/>
    <col min="5" max="5" width="7.28515625" style="921" customWidth="1"/>
    <col min="6" max="6" width="9.28515625" style="921" customWidth="1"/>
    <col min="7" max="7" width="15.85546875" style="480" customWidth="1"/>
    <col min="8" max="8" width="7.85546875" style="480" customWidth="1"/>
    <col min="9" max="9" width="11.28515625" style="480" customWidth="1"/>
    <col min="10" max="10" width="9.85546875" style="480" customWidth="1"/>
    <col min="11" max="11" width="15" customWidth="1"/>
    <col min="12" max="12" width="17" customWidth="1"/>
    <col min="13" max="13" width="13.5703125" customWidth="1"/>
  </cols>
  <sheetData>
    <row r="1" spans="1:24" s="370" customFormat="1" ht="18" customHeight="1" x14ac:dyDescent="0.25">
      <c r="A1" s="1042" t="s">
        <v>1109</v>
      </c>
      <c r="B1" s="1042"/>
      <c r="C1" s="1042"/>
      <c r="D1" s="1042"/>
      <c r="E1" s="1042"/>
      <c r="F1" s="1042"/>
      <c r="G1" s="1042"/>
      <c r="H1" s="1042"/>
      <c r="I1" s="1042"/>
      <c r="J1" s="516"/>
      <c r="K1" s="268"/>
      <c r="L1" s="268"/>
    </row>
    <row r="2" spans="1:24" s="370" customFormat="1" ht="11.25" customHeight="1" x14ac:dyDescent="0.25">
      <c r="A2" s="713"/>
      <c r="B2" s="717"/>
      <c r="C2" s="717"/>
      <c r="D2" s="582"/>
      <c r="E2" s="582"/>
      <c r="F2" s="582"/>
      <c r="G2" s="717"/>
      <c r="H2" s="582"/>
      <c r="I2" s="582"/>
      <c r="J2" s="516"/>
      <c r="K2" s="268"/>
      <c r="L2" s="268"/>
    </row>
    <row r="3" spans="1:24" s="370" customFormat="1" ht="18.75" customHeight="1" x14ac:dyDescent="0.25">
      <c r="A3" s="1043" t="s">
        <v>980</v>
      </c>
      <c r="B3" s="1043"/>
      <c r="C3" s="1043"/>
      <c r="D3" s="1043"/>
      <c r="E3" s="1043"/>
      <c r="F3" s="1043"/>
      <c r="G3" s="1043"/>
      <c r="H3" s="1043"/>
      <c r="I3" s="1043"/>
      <c r="J3" s="1043"/>
      <c r="K3" s="183"/>
      <c r="L3" s="183"/>
      <c r="M3" s="202"/>
    </row>
    <row r="4" spans="1:24" s="370" customFormat="1" ht="7.5" customHeight="1" x14ac:dyDescent="0.25">
      <c r="A4" s="188"/>
      <c r="B4" s="516"/>
      <c r="C4" s="516"/>
      <c r="D4" s="583"/>
      <c r="E4" s="583"/>
      <c r="F4" s="583"/>
      <c r="G4" s="516"/>
      <c r="H4" s="583"/>
      <c r="I4" s="583"/>
      <c r="J4" s="516"/>
      <c r="K4" s="268"/>
      <c r="L4" s="268"/>
    </row>
    <row r="5" spans="1:24" s="376" customFormat="1" ht="18.75" customHeight="1" x14ac:dyDescent="0.25">
      <c r="A5" s="1043" t="s">
        <v>974</v>
      </c>
      <c r="B5" s="1043"/>
      <c r="C5" s="1043"/>
      <c r="D5" s="1043"/>
      <c r="E5" s="1043"/>
      <c r="F5" s="1043"/>
      <c r="G5" s="1043"/>
      <c r="H5" s="1043"/>
      <c r="I5" s="1043"/>
      <c r="J5" s="584"/>
      <c r="K5" s="266"/>
      <c r="L5" s="266"/>
    </row>
    <row r="6" spans="1:24" s="376" customFormat="1" ht="9.75" customHeight="1" x14ac:dyDescent="0.25">
      <c r="A6" s="183"/>
      <c r="B6" s="584"/>
      <c r="C6" s="584"/>
      <c r="D6" s="919"/>
      <c r="E6" s="919"/>
      <c r="F6" s="919"/>
      <c r="G6" s="584"/>
      <c r="H6" s="584"/>
      <c r="I6" s="584"/>
      <c r="J6" s="584"/>
      <c r="K6" s="266"/>
      <c r="L6" s="266"/>
    </row>
    <row r="7" spans="1:24" s="376" customFormat="1" ht="18.75" customHeight="1" x14ac:dyDescent="0.25">
      <c r="A7" s="1042" t="s">
        <v>975</v>
      </c>
      <c r="B7" s="1042"/>
      <c r="C7" s="1042"/>
      <c r="D7" s="1042"/>
      <c r="E7" s="1042"/>
      <c r="F7" s="1042"/>
      <c r="G7" s="1042"/>
      <c r="H7" s="1042"/>
      <c r="I7" s="1042"/>
      <c r="J7" s="1042"/>
      <c r="K7" s="266"/>
      <c r="L7" s="266"/>
    </row>
    <row r="8" spans="1:24" s="370" customFormat="1" ht="8.25" customHeight="1" x14ac:dyDescent="0.25">
      <c r="A8" s="713"/>
      <c r="B8" s="717"/>
      <c r="C8" s="717"/>
      <c r="D8" s="582"/>
      <c r="E8" s="582"/>
      <c r="F8" s="582"/>
      <c r="G8" s="717"/>
      <c r="H8" s="582"/>
      <c r="I8" s="582"/>
      <c r="J8" s="516"/>
      <c r="K8" s="268"/>
      <c r="L8" s="268"/>
    </row>
    <row r="9" spans="1:24" s="370" customFormat="1" ht="13.5" customHeight="1" x14ac:dyDescent="0.25">
      <c r="A9" s="1038" t="s">
        <v>976</v>
      </c>
      <c r="B9" s="1038"/>
      <c r="C9" s="1038"/>
      <c r="D9" s="1038"/>
      <c r="E9" s="1038"/>
      <c r="F9" s="1038"/>
      <c r="G9" s="1038"/>
      <c r="H9" s="1038"/>
      <c r="I9" s="1038"/>
      <c r="J9" s="516"/>
      <c r="K9" s="268"/>
      <c r="L9" s="268"/>
    </row>
    <row r="10" spans="1:24" s="370" customFormat="1" ht="14.25" customHeight="1" x14ac:dyDescent="0.25">
      <c r="A10" s="1038" t="s">
        <v>977</v>
      </c>
      <c r="B10" s="1038"/>
      <c r="C10" s="1038"/>
      <c r="D10" s="1038"/>
      <c r="E10" s="1038"/>
      <c r="F10" s="1038"/>
      <c r="G10" s="1038"/>
      <c r="H10" s="1038"/>
      <c r="I10" s="1038"/>
      <c r="J10" s="516"/>
      <c r="K10" s="268"/>
      <c r="L10" s="268"/>
    </row>
    <row r="11" spans="1:24" s="370" customFormat="1" ht="6" customHeight="1" x14ac:dyDescent="0.25">
      <c r="A11" s="188"/>
      <c r="B11" s="516"/>
      <c r="C11" s="516"/>
      <c r="D11" s="583"/>
      <c r="E11" s="583"/>
      <c r="F11" s="583"/>
      <c r="G11" s="516"/>
      <c r="H11" s="516"/>
      <c r="I11" s="516"/>
      <c r="J11" s="516"/>
      <c r="K11" s="268"/>
      <c r="L11" s="268"/>
    </row>
    <row r="12" spans="1:24" s="459" customFormat="1" ht="17.25" customHeight="1" x14ac:dyDescent="0.3">
      <c r="A12" s="1041" t="s">
        <v>1111</v>
      </c>
      <c r="B12" s="1041"/>
      <c r="C12" s="1041"/>
      <c r="D12" s="1041"/>
      <c r="E12" s="1041"/>
      <c r="F12" s="1041"/>
      <c r="G12" s="1041"/>
      <c r="H12" s="1041"/>
      <c r="I12" s="1041"/>
      <c r="J12" s="1041"/>
      <c r="K12" s="196"/>
      <c r="L12" s="196"/>
      <c r="M12" s="196"/>
      <c r="N12" s="204"/>
      <c r="O12" s="204"/>
      <c r="P12" s="204"/>
      <c r="Q12" s="204"/>
      <c r="R12" s="204"/>
      <c r="S12" s="204"/>
      <c r="T12" s="204"/>
      <c r="U12" s="204"/>
    </row>
    <row r="13" spans="1:24" s="370" customFormat="1" ht="14.25" customHeight="1" x14ac:dyDescent="0.25">
      <c r="A13" s="188"/>
      <c r="B13" s="516"/>
      <c r="C13" s="516"/>
      <c r="D13" s="583"/>
      <c r="E13" s="583"/>
      <c r="F13" s="583"/>
      <c r="G13" s="516"/>
      <c r="H13" s="583"/>
      <c r="I13" s="583"/>
      <c r="J13" s="516"/>
      <c r="K13" s="268"/>
      <c r="L13" s="268"/>
    </row>
    <row r="14" spans="1:24" s="281" customFormat="1" ht="18" customHeight="1" x14ac:dyDescent="0.3">
      <c r="A14" s="1041" t="s">
        <v>1110</v>
      </c>
      <c r="B14" s="1041"/>
      <c r="C14" s="1041"/>
      <c r="D14" s="1041"/>
      <c r="E14" s="1041"/>
      <c r="F14" s="1041"/>
      <c r="G14" s="1041"/>
      <c r="H14" s="1041"/>
      <c r="I14" s="1041"/>
      <c r="J14" s="1041"/>
      <c r="K14" s="1041"/>
      <c r="L14" s="1041"/>
      <c r="M14" s="1041"/>
      <c r="N14" s="1041"/>
      <c r="O14" s="1041"/>
      <c r="P14" s="1041"/>
      <c r="Q14" s="204"/>
      <c r="R14" s="194"/>
      <c r="S14" s="194"/>
      <c r="T14" s="194"/>
      <c r="U14" s="194"/>
      <c r="V14" s="194"/>
      <c r="W14" s="194"/>
      <c r="X14" s="194"/>
    </row>
    <row r="15" spans="1:24" ht="25.5" customHeight="1" x14ac:dyDescent="0.25">
      <c r="A15" s="1385" t="s">
        <v>409</v>
      </c>
      <c r="B15" s="1387" t="s">
        <v>418</v>
      </c>
      <c r="C15" s="1387" t="s">
        <v>410</v>
      </c>
      <c r="D15" s="1391" t="s">
        <v>159</v>
      </c>
      <c r="E15" s="1391" t="s">
        <v>223</v>
      </c>
      <c r="F15" s="1391" t="s">
        <v>411</v>
      </c>
      <c r="G15" s="1387" t="s">
        <v>412</v>
      </c>
      <c r="H15" s="1387" t="s">
        <v>21</v>
      </c>
      <c r="I15" s="1387" t="s">
        <v>413</v>
      </c>
      <c r="J15" s="1387"/>
      <c r="K15" s="287"/>
      <c r="L15" s="287"/>
      <c r="M15" s="284"/>
      <c r="N15" s="284"/>
      <c r="O15" s="284"/>
    </row>
    <row r="16" spans="1:24" ht="36" customHeight="1" x14ac:dyDescent="0.25">
      <c r="A16" s="1385"/>
      <c r="B16" s="1387"/>
      <c r="C16" s="1387"/>
      <c r="D16" s="1391"/>
      <c r="E16" s="1391"/>
      <c r="F16" s="1391"/>
      <c r="G16" s="1387"/>
      <c r="H16" s="1387"/>
      <c r="I16" s="57" t="s">
        <v>440</v>
      </c>
      <c r="J16" s="57" t="s">
        <v>19</v>
      </c>
      <c r="K16" s="287"/>
      <c r="L16" s="287"/>
      <c r="M16" s="284"/>
      <c r="N16" s="284"/>
      <c r="O16" s="284"/>
    </row>
    <row r="17" spans="1:15" x14ac:dyDescent="0.25">
      <c r="A17" s="25">
        <v>1</v>
      </c>
      <c r="B17" s="57">
        <v>2</v>
      </c>
      <c r="C17" s="57">
        <v>3</v>
      </c>
      <c r="D17" s="477">
        <v>4</v>
      </c>
      <c r="E17" s="477">
        <v>5</v>
      </c>
      <c r="F17" s="477">
        <v>6</v>
      </c>
      <c r="G17" s="57">
        <v>7</v>
      </c>
      <c r="H17" s="57">
        <v>8</v>
      </c>
      <c r="I17" s="57">
        <v>9</v>
      </c>
      <c r="J17" s="57">
        <v>10</v>
      </c>
      <c r="K17" s="287"/>
      <c r="L17" s="287"/>
      <c r="M17" s="284"/>
      <c r="N17" s="284"/>
      <c r="O17" s="284"/>
    </row>
    <row r="18" spans="1:15" ht="18.75" x14ac:dyDescent="0.25">
      <c r="A18" s="1404" t="s">
        <v>1153</v>
      </c>
      <c r="B18" s="1405"/>
      <c r="C18" s="1405"/>
      <c r="D18" s="1405"/>
      <c r="E18" s="1405"/>
      <c r="F18" s="1405"/>
      <c r="G18" s="1405"/>
      <c r="H18" s="1405"/>
      <c r="I18" s="1405"/>
      <c r="J18" s="1406"/>
      <c r="K18" s="366"/>
      <c r="L18" s="366"/>
      <c r="M18" s="366"/>
    </row>
    <row r="19" spans="1:15" x14ac:dyDescent="0.25">
      <c r="A19" s="1407" t="s">
        <v>566</v>
      </c>
      <c r="B19" s="1408"/>
      <c r="C19" s="1408"/>
      <c r="D19" s="1408"/>
      <c r="E19" s="1408"/>
      <c r="F19" s="1408"/>
      <c r="G19" s="1408"/>
      <c r="H19" s="1408"/>
      <c r="I19" s="1408"/>
      <c r="J19" s="1409"/>
      <c r="K19" s="377"/>
      <c r="L19" s="377"/>
      <c r="M19" s="377"/>
    </row>
    <row r="20" spans="1:15" ht="42" customHeight="1" x14ac:dyDescent="0.25">
      <c r="A20" s="1061">
        <v>1</v>
      </c>
      <c r="B20" s="1085" t="s">
        <v>567</v>
      </c>
      <c r="C20" s="1085" t="s">
        <v>568</v>
      </c>
      <c r="D20" s="1383" t="s">
        <v>732</v>
      </c>
      <c r="E20" s="1292">
        <v>2190</v>
      </c>
      <c r="F20" s="1292" t="s">
        <v>165</v>
      </c>
      <c r="G20" s="57" t="s">
        <v>570</v>
      </c>
      <c r="H20" s="475" t="s">
        <v>571</v>
      </c>
      <c r="I20" s="57">
        <v>1E-3</v>
      </c>
      <c r="J20" s="57">
        <f>ROUND(3.6*I20*E20/1000,5)</f>
        <v>7.8799999999999999E-3</v>
      </c>
      <c r="K20" s="287"/>
      <c r="L20" s="287"/>
      <c r="M20" s="287"/>
    </row>
    <row r="21" spans="1:15" ht="42" customHeight="1" x14ac:dyDescent="0.25">
      <c r="A21" s="1063"/>
      <c r="B21" s="1339"/>
      <c r="C21" s="1339"/>
      <c r="D21" s="1394"/>
      <c r="E21" s="1394"/>
      <c r="F21" s="1394"/>
      <c r="G21" s="57" t="s">
        <v>250</v>
      </c>
      <c r="H21" s="56" t="s">
        <v>251</v>
      </c>
      <c r="I21" s="57">
        <v>1.39E-6</v>
      </c>
      <c r="J21" s="57">
        <f>ROUND(3.6*I21*E20/1000,6)</f>
        <v>1.1E-5</v>
      </c>
      <c r="K21" s="287"/>
      <c r="L21" s="287"/>
      <c r="M21" s="287"/>
    </row>
    <row r="22" spans="1:15" ht="42" customHeight="1" x14ac:dyDescent="0.25">
      <c r="A22" s="1063"/>
      <c r="B22" s="1339"/>
      <c r="C22" s="1339"/>
      <c r="D22" s="1394"/>
      <c r="E22" s="1394"/>
      <c r="F22" s="1394"/>
      <c r="G22" s="57" t="s">
        <v>573</v>
      </c>
      <c r="H22" s="56" t="s">
        <v>572</v>
      </c>
      <c r="I22" s="57">
        <v>1.3999999999999999E-4</v>
      </c>
      <c r="J22" s="57">
        <f>ROUND(3.6*I22*E20/1000,5)</f>
        <v>1.1000000000000001E-3</v>
      </c>
      <c r="K22" s="287"/>
      <c r="L22" s="287"/>
      <c r="M22" s="284"/>
    </row>
    <row r="23" spans="1:15" ht="42" customHeight="1" x14ac:dyDescent="0.25">
      <c r="A23" s="1063"/>
      <c r="B23" s="1339"/>
      <c r="C23" s="1339"/>
      <c r="D23" s="1394"/>
      <c r="E23" s="1394"/>
      <c r="F23" s="1394"/>
      <c r="G23" s="57" t="s">
        <v>416</v>
      </c>
      <c r="H23" s="475" t="s">
        <v>57</v>
      </c>
      <c r="I23" s="57">
        <v>3.3000000000000002E-6</v>
      </c>
      <c r="J23" s="57">
        <f>ROUND(3.6*I23*E20/1000,5)</f>
        <v>3.0000000000000001E-5</v>
      </c>
      <c r="K23" s="287"/>
      <c r="L23" s="287"/>
      <c r="M23" s="284"/>
    </row>
    <row r="24" spans="1:15" ht="42" customHeight="1" x14ac:dyDescent="0.25">
      <c r="A24" s="1062"/>
      <c r="B24" s="1340"/>
      <c r="C24" s="1340"/>
      <c r="D24" s="1384"/>
      <c r="E24" s="1384"/>
      <c r="F24" s="1384"/>
      <c r="G24" s="57" t="s">
        <v>213</v>
      </c>
      <c r="H24" s="475" t="s">
        <v>62</v>
      </c>
      <c r="I24" s="57">
        <v>1.7000000000000001E-4</v>
      </c>
      <c r="J24" s="57">
        <f>ROUND(3.6*I24*E20/1000,5)</f>
        <v>1.34E-3</v>
      </c>
      <c r="K24" s="287">
        <f>SUM(I20:I24)</f>
        <v>1.3146899999999999E-3</v>
      </c>
      <c r="L24" s="287">
        <f>SUM(J20:J24)</f>
        <v>1.0361000000000002E-2</v>
      </c>
      <c r="M24" s="378"/>
    </row>
    <row r="25" spans="1:15" ht="21.75" customHeight="1" x14ac:dyDescent="0.25">
      <c r="A25" s="1061">
        <v>2</v>
      </c>
      <c r="B25" s="1085" t="s">
        <v>574</v>
      </c>
      <c r="C25" s="1085" t="s">
        <v>575</v>
      </c>
      <c r="D25" s="1383" t="s">
        <v>540</v>
      </c>
      <c r="E25" s="1292">
        <v>2190</v>
      </c>
      <c r="F25" s="1292" t="s">
        <v>165</v>
      </c>
      <c r="G25" s="57" t="s">
        <v>570</v>
      </c>
      <c r="H25" s="475" t="s">
        <v>571</v>
      </c>
      <c r="I25" s="57">
        <v>4.6E-6</v>
      </c>
      <c r="J25" s="57">
        <f>ROUND(3.6*I25*E25/1000,5)</f>
        <v>4.0000000000000003E-5</v>
      </c>
      <c r="K25" s="287"/>
      <c r="L25" s="287"/>
      <c r="M25" s="287"/>
    </row>
    <row r="26" spans="1:15" ht="23.25" customHeight="1" x14ac:dyDescent="0.25">
      <c r="A26" s="1062"/>
      <c r="B26" s="1340"/>
      <c r="C26" s="1340"/>
      <c r="D26" s="1384"/>
      <c r="E26" s="1384"/>
      <c r="F26" s="1384"/>
      <c r="G26" s="57" t="s">
        <v>416</v>
      </c>
      <c r="H26" s="475" t="s">
        <v>57</v>
      </c>
      <c r="I26" s="57">
        <v>4.6E-6</v>
      </c>
      <c r="J26" s="57">
        <f>ROUND(3.6*I26*E25/1000,5)</f>
        <v>4.0000000000000003E-5</v>
      </c>
      <c r="K26" s="287">
        <f>SUM(I25:I26)</f>
        <v>9.2E-6</v>
      </c>
      <c r="L26" s="287">
        <f>SUM(J25:J26)</f>
        <v>8.0000000000000007E-5</v>
      </c>
      <c r="M26" s="378"/>
    </row>
    <row r="27" spans="1:15" ht="63.75" customHeight="1" x14ac:dyDescent="0.25">
      <c r="A27" s="1061">
        <v>3</v>
      </c>
      <c r="B27" s="1085" t="s">
        <v>577</v>
      </c>
      <c r="C27" s="1085" t="s">
        <v>741</v>
      </c>
      <c r="D27" s="1383" t="s">
        <v>733</v>
      </c>
      <c r="E27" s="1292">
        <v>2190</v>
      </c>
      <c r="F27" s="1292" t="s">
        <v>165</v>
      </c>
      <c r="G27" s="57" t="s">
        <v>570</v>
      </c>
      <c r="H27" s="475" t="s">
        <v>571</v>
      </c>
      <c r="I27" s="57">
        <v>1.1E-4</v>
      </c>
      <c r="J27" s="57">
        <f>ROUND(3.6*I27*E27/1000,5)</f>
        <v>8.7000000000000001E-4</v>
      </c>
      <c r="K27" s="287"/>
      <c r="L27" s="287"/>
      <c r="M27" s="287"/>
    </row>
    <row r="28" spans="1:15" ht="63.75" customHeight="1" x14ac:dyDescent="0.25">
      <c r="A28" s="1063"/>
      <c r="B28" s="1339"/>
      <c r="C28" s="1339"/>
      <c r="D28" s="1394"/>
      <c r="E28" s="1394"/>
      <c r="F28" s="1394"/>
      <c r="G28" s="57" t="s">
        <v>573</v>
      </c>
      <c r="H28" s="56" t="s">
        <v>572</v>
      </c>
      <c r="I28" s="57">
        <v>1.7700000000000001E-3</v>
      </c>
      <c r="J28" s="57">
        <f>ROUND(3.6*I28*E27/1000,5)</f>
        <v>1.3950000000000001E-2</v>
      </c>
      <c r="K28" s="287"/>
      <c r="L28" s="287"/>
      <c r="M28" s="284"/>
    </row>
    <row r="29" spans="1:15" ht="63.75" customHeight="1" x14ac:dyDescent="0.25">
      <c r="A29" s="1063"/>
      <c r="B29" s="1339"/>
      <c r="C29" s="1339"/>
      <c r="D29" s="1394"/>
      <c r="E29" s="1394"/>
      <c r="F29" s="1394"/>
      <c r="G29" s="57" t="s">
        <v>442</v>
      </c>
      <c r="H29" s="56" t="s">
        <v>441</v>
      </c>
      <c r="I29" s="57">
        <v>9.8899999999999995E-3</v>
      </c>
      <c r="J29" s="57">
        <f>ROUND(3.6*I29*E27/1000,5)</f>
        <v>7.7969999999999998E-2</v>
      </c>
      <c r="K29" s="287"/>
      <c r="L29" s="287"/>
      <c r="M29" s="284"/>
    </row>
    <row r="30" spans="1:15" ht="45.75" customHeight="1" x14ac:dyDescent="0.25">
      <c r="A30" s="1062"/>
      <c r="B30" s="1340"/>
      <c r="C30" s="1340"/>
      <c r="D30" s="1384"/>
      <c r="E30" s="1384"/>
      <c r="F30" s="1384"/>
      <c r="G30" s="57" t="s">
        <v>579</v>
      </c>
      <c r="H30" s="56" t="s">
        <v>580</v>
      </c>
      <c r="I30" s="57">
        <v>3.6900000000000001E-3</v>
      </c>
      <c r="J30" s="57">
        <f>ROUND(3.6*I30*E27/1000,5)</f>
        <v>2.9090000000000001E-2</v>
      </c>
      <c r="K30" s="287">
        <f>SUM(I27:I30)</f>
        <v>1.546E-2</v>
      </c>
      <c r="L30" s="287">
        <f>SUM(J27:J30)</f>
        <v>0.12188</v>
      </c>
      <c r="M30" s="284"/>
    </row>
    <row r="31" spans="1:15" ht="29.25" customHeight="1" x14ac:dyDescent="0.25">
      <c r="A31" s="1061">
        <v>4</v>
      </c>
      <c r="B31" s="1085" t="s">
        <v>581</v>
      </c>
      <c r="C31" s="1085" t="s">
        <v>742</v>
      </c>
      <c r="D31" s="1383" t="s">
        <v>734</v>
      </c>
      <c r="E31" s="1292">
        <v>2190</v>
      </c>
      <c r="F31" s="1292" t="s">
        <v>165</v>
      </c>
      <c r="G31" s="57" t="s">
        <v>570</v>
      </c>
      <c r="H31" s="475" t="s">
        <v>571</v>
      </c>
      <c r="I31" s="57">
        <v>1.34E-3</v>
      </c>
      <c r="J31" s="57">
        <f>ROUND(3.6*I31*E31/1000,5)</f>
        <v>1.056E-2</v>
      </c>
      <c r="K31" s="287"/>
      <c r="L31" s="287"/>
      <c r="M31" s="287"/>
    </row>
    <row r="32" spans="1:15" ht="29.25" customHeight="1" x14ac:dyDescent="0.25">
      <c r="A32" s="1063"/>
      <c r="B32" s="1339"/>
      <c r="C32" s="1339"/>
      <c r="D32" s="1394"/>
      <c r="E32" s="1394"/>
      <c r="F32" s="1394"/>
      <c r="G32" s="57" t="s">
        <v>250</v>
      </c>
      <c r="H32" s="56" t="s">
        <v>251</v>
      </c>
      <c r="I32" s="57">
        <v>4.0000000000000003E-5</v>
      </c>
      <c r="J32" s="57">
        <f>ROUND(3.6*I32*E31/1000,5)</f>
        <v>3.2000000000000003E-4</v>
      </c>
      <c r="K32" s="287"/>
      <c r="L32" s="287"/>
      <c r="M32" s="287"/>
    </row>
    <row r="33" spans="1:13" ht="32.25" customHeight="1" x14ac:dyDescent="0.25">
      <c r="A33" s="1063"/>
      <c r="B33" s="1339"/>
      <c r="C33" s="1339"/>
      <c r="D33" s="1394"/>
      <c r="E33" s="1394"/>
      <c r="F33" s="1394"/>
      <c r="G33" s="57" t="s">
        <v>573</v>
      </c>
      <c r="H33" s="56" t="s">
        <v>572</v>
      </c>
      <c r="I33" s="57">
        <v>1.9000000000000001E-4</v>
      </c>
      <c r="J33" s="57">
        <f>ROUND(3.6*I33*E31/1000,5)</f>
        <v>1.5E-3</v>
      </c>
      <c r="K33" s="287"/>
      <c r="L33" s="287"/>
      <c r="M33" s="284"/>
    </row>
    <row r="34" spans="1:13" ht="63" customHeight="1" x14ac:dyDescent="0.25">
      <c r="A34" s="1062"/>
      <c r="B34" s="1340"/>
      <c r="C34" s="1340"/>
      <c r="D34" s="1384"/>
      <c r="E34" s="1384"/>
      <c r="F34" s="1384"/>
      <c r="G34" s="57" t="s">
        <v>414</v>
      </c>
      <c r="H34" s="475" t="s">
        <v>415</v>
      </c>
      <c r="I34" s="57">
        <v>6.7000000000000002E-4</v>
      </c>
      <c r="J34" s="57">
        <f>ROUND(3.6*I34*E31/1000,4)</f>
        <v>5.3E-3</v>
      </c>
      <c r="K34" s="287">
        <f>SUM(I31:I34)</f>
        <v>2.2400000000000002E-3</v>
      </c>
      <c r="L34" s="287">
        <f>SUM(J31:J34)</f>
        <v>1.7680000000000001E-2</v>
      </c>
      <c r="M34" s="368"/>
    </row>
    <row r="35" spans="1:13" ht="47.25" customHeight="1" x14ac:dyDescent="0.25">
      <c r="A35" s="1061">
        <v>5</v>
      </c>
      <c r="B35" s="1085" t="s">
        <v>583</v>
      </c>
      <c r="C35" s="1085" t="s">
        <v>584</v>
      </c>
      <c r="D35" s="1383" t="s">
        <v>543</v>
      </c>
      <c r="E35" s="1292">
        <v>2190</v>
      </c>
      <c r="F35" s="1400" t="s">
        <v>1486</v>
      </c>
      <c r="G35" s="57" t="s">
        <v>250</v>
      </c>
      <c r="H35" s="56" t="s">
        <v>251</v>
      </c>
      <c r="I35" s="57">
        <v>6.4000000000000005E-4</v>
      </c>
      <c r="J35" s="57">
        <f>ROUND(3.6*I35*E35/1000,5)</f>
        <v>5.0499999999999998E-3</v>
      </c>
      <c r="K35" s="287"/>
      <c r="L35" s="287"/>
      <c r="M35" s="287"/>
    </row>
    <row r="36" spans="1:13" ht="54" customHeight="1" x14ac:dyDescent="0.25">
      <c r="A36" s="1062"/>
      <c r="B36" s="1340"/>
      <c r="C36" s="1340"/>
      <c r="D36" s="1384"/>
      <c r="E36" s="1384"/>
      <c r="F36" s="1401"/>
      <c r="G36" s="57" t="s">
        <v>586</v>
      </c>
      <c r="H36" s="475" t="s">
        <v>587</v>
      </c>
      <c r="I36" s="57">
        <v>4.0000000000000003E-5</v>
      </c>
      <c r="J36" s="57">
        <f>ROUND(3.6*I36*E35/1000,5)</f>
        <v>3.2000000000000003E-4</v>
      </c>
      <c r="K36" s="287">
        <f>SUM(I35:I36)</f>
        <v>6.8000000000000005E-4</v>
      </c>
      <c r="L36" s="287">
        <f>SUM(J35:J36)</f>
        <v>5.3699999999999998E-3</v>
      </c>
      <c r="M36" s="368"/>
    </row>
    <row r="37" spans="1:13" ht="31.5" customHeight="1" x14ac:dyDescent="0.25">
      <c r="A37" s="1061">
        <v>6</v>
      </c>
      <c r="B37" s="1085" t="s">
        <v>588</v>
      </c>
      <c r="C37" s="1085" t="s">
        <v>981</v>
      </c>
      <c r="D37" s="1383" t="s">
        <v>735</v>
      </c>
      <c r="E37" s="1292">
        <v>2190</v>
      </c>
      <c r="F37" s="1292" t="s">
        <v>165</v>
      </c>
      <c r="G37" s="57" t="s">
        <v>570</v>
      </c>
      <c r="H37" s="475" t="s">
        <v>571</v>
      </c>
      <c r="I37" s="57">
        <v>1.5499999999999999E-3</v>
      </c>
      <c r="J37" s="57">
        <f>ROUND(3.6*I37*E37/1000,5)</f>
        <v>1.222E-2</v>
      </c>
      <c r="K37" s="287"/>
      <c r="L37" s="287"/>
      <c r="M37" s="287"/>
    </row>
    <row r="38" spans="1:13" ht="48.75" customHeight="1" x14ac:dyDescent="0.25">
      <c r="A38" s="1402"/>
      <c r="B38" s="1341"/>
      <c r="C38" s="1341"/>
      <c r="D38" s="1403"/>
      <c r="E38" s="1403"/>
      <c r="F38" s="1403"/>
      <c r="G38" s="57" t="s">
        <v>590</v>
      </c>
      <c r="H38" s="475" t="s">
        <v>591</v>
      </c>
      <c r="I38" s="57">
        <v>1.5E-3</v>
      </c>
      <c r="J38" s="57">
        <f>ROUND(3.6*I38*E37/1000,5)</f>
        <v>1.183E-2</v>
      </c>
      <c r="K38" s="287"/>
      <c r="L38" s="287"/>
      <c r="M38" s="287"/>
    </row>
    <row r="39" spans="1:13" ht="48.75" customHeight="1" x14ac:dyDescent="0.25">
      <c r="A39" s="1402"/>
      <c r="B39" s="1341"/>
      <c r="C39" s="1341"/>
      <c r="D39" s="1403"/>
      <c r="E39" s="1403"/>
      <c r="F39" s="1403"/>
      <c r="G39" s="57" t="s">
        <v>250</v>
      </c>
      <c r="H39" s="56" t="s">
        <v>251</v>
      </c>
      <c r="I39" s="57">
        <v>3.49E-3</v>
      </c>
      <c r="J39" s="57">
        <f>ROUND(3.6*I39*E37/1000,5)</f>
        <v>2.7519999999999999E-2</v>
      </c>
      <c r="K39" s="287"/>
      <c r="L39" s="287"/>
      <c r="M39" s="287"/>
    </row>
    <row r="40" spans="1:13" ht="48.75" customHeight="1" x14ac:dyDescent="0.25">
      <c r="A40" s="1402"/>
      <c r="B40" s="1341"/>
      <c r="C40" s="1341"/>
      <c r="D40" s="1403"/>
      <c r="E40" s="1403"/>
      <c r="F40" s="1403"/>
      <c r="G40" s="57" t="s">
        <v>420</v>
      </c>
      <c r="H40" s="475" t="s">
        <v>66</v>
      </c>
      <c r="I40" s="57">
        <v>2.2499999999999998E-3</v>
      </c>
      <c r="J40" s="57">
        <f>ROUND(3.6*I40*E37/1000,4)</f>
        <v>1.77E-2</v>
      </c>
      <c r="K40" s="368"/>
      <c r="L40" s="368"/>
      <c r="M40" s="368"/>
    </row>
    <row r="41" spans="1:13" ht="48.75" customHeight="1" x14ac:dyDescent="0.25">
      <c r="A41" s="1402"/>
      <c r="B41" s="1341"/>
      <c r="C41" s="1341"/>
      <c r="D41" s="1403"/>
      <c r="E41" s="1403"/>
      <c r="F41" s="1403"/>
      <c r="G41" s="57" t="s">
        <v>573</v>
      </c>
      <c r="H41" s="56" t="s">
        <v>572</v>
      </c>
      <c r="I41" s="57">
        <v>8.0000000000000007E-5</v>
      </c>
      <c r="J41" s="57">
        <f>ROUND(3.6*I41*E37/1000,5)</f>
        <v>6.3000000000000003E-4</v>
      </c>
      <c r="K41" s="287"/>
      <c r="L41" s="287"/>
      <c r="M41" s="287"/>
    </row>
    <row r="42" spans="1:13" ht="37.5" customHeight="1" x14ac:dyDescent="0.25">
      <c r="A42" s="1402"/>
      <c r="B42" s="1341"/>
      <c r="C42" s="1341"/>
      <c r="D42" s="1403"/>
      <c r="E42" s="1403"/>
      <c r="F42" s="1403"/>
      <c r="G42" s="57" t="s">
        <v>213</v>
      </c>
      <c r="H42" s="475" t="s">
        <v>62</v>
      </c>
      <c r="I42" s="57">
        <v>7.2000000000000005E-4</v>
      </c>
      <c r="J42" s="57">
        <f>ROUND(3.6*I42*E37/1000,5)</f>
        <v>5.6800000000000002E-3</v>
      </c>
      <c r="K42" s="287">
        <f>SUM(I37:I42)</f>
        <v>9.5899999999999996E-3</v>
      </c>
      <c r="L42" s="287">
        <f>SUM(J37:J42)</f>
        <v>7.5580000000000008E-2</v>
      </c>
      <c r="M42" s="287"/>
    </row>
    <row r="43" spans="1:13" x14ac:dyDescent="0.25">
      <c r="A43" s="1358">
        <v>7</v>
      </c>
      <c r="B43" s="1085" t="s">
        <v>592</v>
      </c>
      <c r="C43" s="1085" t="s">
        <v>593</v>
      </c>
      <c r="D43" s="1383" t="s">
        <v>560</v>
      </c>
      <c r="E43" s="1292">
        <v>2190</v>
      </c>
      <c r="F43" s="1292" t="s">
        <v>165</v>
      </c>
      <c r="G43" s="57" t="s">
        <v>420</v>
      </c>
      <c r="H43" s="475" t="s">
        <v>66</v>
      </c>
      <c r="I43" s="57">
        <v>1.1299999999999999E-3</v>
      </c>
      <c r="J43" s="57">
        <f>ROUND(3.6*I43*E43/1000,4)</f>
        <v>8.8999999999999999E-3</v>
      </c>
      <c r="K43" s="368"/>
      <c r="L43" s="368"/>
      <c r="M43" s="368"/>
    </row>
    <row r="44" spans="1:13" ht="64.5" customHeight="1" x14ac:dyDescent="0.25">
      <c r="A44" s="1338"/>
      <c r="B44" s="1340"/>
      <c r="C44" s="1340"/>
      <c r="D44" s="1393"/>
      <c r="E44" s="1384"/>
      <c r="F44" s="1384"/>
      <c r="G44" s="57" t="s">
        <v>739</v>
      </c>
      <c r="H44" s="475" t="s">
        <v>140</v>
      </c>
      <c r="I44" s="57">
        <v>2.8E-3</v>
      </c>
      <c r="J44" s="57">
        <f>ROUND(3.6*I44*E43/1000,4)</f>
        <v>2.2100000000000002E-2</v>
      </c>
      <c r="K44" s="287">
        <f>SUM(I43:I44)</f>
        <v>3.9299999999999995E-3</v>
      </c>
      <c r="L44" s="368">
        <f>SUM(J43:J44)</f>
        <v>3.1E-2</v>
      </c>
      <c r="M44" s="368"/>
    </row>
    <row r="45" spans="1:13" ht="25.5" customHeight="1" x14ac:dyDescent="0.25">
      <c r="A45" s="1358">
        <v>8</v>
      </c>
      <c r="B45" s="1085" t="s">
        <v>743</v>
      </c>
      <c r="C45" s="1085" t="s">
        <v>744</v>
      </c>
      <c r="D45" s="1383" t="s">
        <v>555</v>
      </c>
      <c r="E45" s="1292">
        <v>2190</v>
      </c>
      <c r="F45" s="1292" t="s">
        <v>165</v>
      </c>
      <c r="G45" s="57" t="s">
        <v>570</v>
      </c>
      <c r="H45" s="475" t="s">
        <v>571</v>
      </c>
      <c r="I45" s="57">
        <v>2.2000000000000001E-4</v>
      </c>
      <c r="J45" s="57">
        <f>ROUND(3.6*I45*E45/1000,5)</f>
        <v>1.73E-3</v>
      </c>
      <c r="K45" s="287"/>
      <c r="L45" s="287"/>
      <c r="M45" s="287"/>
    </row>
    <row r="46" spans="1:13" ht="25.5" customHeight="1" x14ac:dyDescent="0.25">
      <c r="A46" s="1337"/>
      <c r="B46" s="1339"/>
      <c r="C46" s="1339"/>
      <c r="D46" s="1392"/>
      <c r="E46" s="1394"/>
      <c r="F46" s="1394"/>
      <c r="G46" s="57" t="s">
        <v>250</v>
      </c>
      <c r="H46" s="56" t="s">
        <v>251</v>
      </c>
      <c r="I46" s="57">
        <v>1.16E-3</v>
      </c>
      <c r="J46" s="57">
        <f>ROUND(3.6*I46*E45/1000,5)</f>
        <v>9.1500000000000001E-3</v>
      </c>
      <c r="K46" s="287"/>
      <c r="L46" s="287"/>
      <c r="M46" s="287"/>
    </row>
    <row r="47" spans="1:13" ht="18.75" customHeight="1" x14ac:dyDescent="0.25">
      <c r="A47" s="1338"/>
      <c r="B47" s="1340"/>
      <c r="C47" s="1340"/>
      <c r="D47" s="1393"/>
      <c r="E47" s="1384"/>
      <c r="F47" s="1384"/>
      <c r="G47" s="57" t="s">
        <v>597</v>
      </c>
      <c r="H47" s="56" t="s">
        <v>598</v>
      </c>
      <c r="I47" s="57">
        <v>3.3300000000000001E-3</v>
      </c>
      <c r="J47" s="57">
        <f>ROUND(3.6*I47*E45/1000,5)</f>
        <v>2.6249999999999999E-2</v>
      </c>
      <c r="K47" s="287">
        <f>SUM(I45:I47)</f>
        <v>4.7099999999999998E-3</v>
      </c>
      <c r="L47" s="287">
        <f>SUM(J45:J47)</f>
        <v>3.7129999999999996E-2</v>
      </c>
      <c r="M47" s="287"/>
    </row>
    <row r="48" spans="1:13" ht="76.5" x14ac:dyDescent="0.25">
      <c r="A48" s="25">
        <v>9</v>
      </c>
      <c r="B48" s="57" t="s">
        <v>745</v>
      </c>
      <c r="C48" s="57" t="s">
        <v>746</v>
      </c>
      <c r="D48" s="478" t="s">
        <v>556</v>
      </c>
      <c r="E48" s="477">
        <v>2190</v>
      </c>
      <c r="F48" s="477" t="s">
        <v>165</v>
      </c>
      <c r="G48" s="57" t="s">
        <v>423</v>
      </c>
      <c r="H48" s="475" t="s">
        <v>424</v>
      </c>
      <c r="I48" s="57">
        <v>9.2000000000000003E-4</v>
      </c>
      <c r="J48" s="57">
        <f>ROUND(3.6*I48*E48/1000,4)</f>
        <v>7.3000000000000001E-3</v>
      </c>
      <c r="K48" s="287">
        <f>I48</f>
        <v>9.2000000000000003E-4</v>
      </c>
      <c r="L48" s="287">
        <f>J48</f>
        <v>7.3000000000000001E-3</v>
      </c>
      <c r="M48" s="368"/>
    </row>
    <row r="49" spans="1:14" ht="68.25" customHeight="1" x14ac:dyDescent="0.25">
      <c r="A49" s="1385">
        <v>10</v>
      </c>
      <c r="B49" s="1387" t="s">
        <v>600</v>
      </c>
      <c r="C49" s="1387" t="s">
        <v>747</v>
      </c>
      <c r="D49" s="1389" t="s">
        <v>563</v>
      </c>
      <c r="E49" s="1391">
        <v>2190</v>
      </c>
      <c r="F49" s="1391" t="s">
        <v>165</v>
      </c>
      <c r="G49" s="57" t="s">
        <v>590</v>
      </c>
      <c r="H49" s="475" t="s">
        <v>591</v>
      </c>
      <c r="I49" s="57">
        <v>2.5200000000000001E-3</v>
      </c>
      <c r="J49" s="57">
        <f>ROUND(3.6*I49*E49/1000,5)</f>
        <v>1.9869999999999999E-2</v>
      </c>
      <c r="K49" s="287"/>
      <c r="L49" s="287"/>
      <c r="M49" s="287"/>
    </row>
    <row r="50" spans="1:14" ht="54.75" customHeight="1" x14ac:dyDescent="0.25">
      <c r="A50" s="1386"/>
      <c r="B50" s="1388"/>
      <c r="C50" s="1388"/>
      <c r="D50" s="1390"/>
      <c r="E50" s="1390"/>
      <c r="F50" s="1390"/>
      <c r="G50" s="57" t="s">
        <v>250</v>
      </c>
      <c r="H50" s="56" t="s">
        <v>251</v>
      </c>
      <c r="I50" s="57">
        <v>2.7499999999999998E-3</v>
      </c>
      <c r="J50" s="57">
        <f>ROUND(3.6*I50*E49/1000,5)</f>
        <v>2.1680000000000001E-2</v>
      </c>
      <c r="K50" s="287"/>
      <c r="L50" s="287"/>
      <c r="M50" s="287"/>
    </row>
    <row r="51" spans="1:14" ht="54.75" customHeight="1" x14ac:dyDescent="0.25">
      <c r="A51" s="1386"/>
      <c r="B51" s="1388"/>
      <c r="C51" s="1388"/>
      <c r="D51" s="1390"/>
      <c r="E51" s="1390"/>
      <c r="F51" s="1390"/>
      <c r="G51" s="57" t="s">
        <v>570</v>
      </c>
      <c r="H51" s="475" t="s">
        <v>571</v>
      </c>
      <c r="I51" s="57">
        <v>2.8800000000000002E-3</v>
      </c>
      <c r="J51" s="57">
        <f>ROUND(3.6*I51*E49/1000,5)</f>
        <v>2.2710000000000001E-2</v>
      </c>
      <c r="K51" s="287"/>
      <c r="L51" s="287"/>
      <c r="M51" s="287"/>
    </row>
    <row r="52" spans="1:14" ht="54.75" customHeight="1" x14ac:dyDescent="0.25">
      <c r="A52" s="1386"/>
      <c r="B52" s="1388"/>
      <c r="C52" s="1388"/>
      <c r="D52" s="1390"/>
      <c r="E52" s="1390"/>
      <c r="F52" s="1390"/>
      <c r="G52" s="57" t="s">
        <v>602</v>
      </c>
      <c r="H52" s="475" t="s">
        <v>603</v>
      </c>
      <c r="I52" s="57">
        <v>3.8999999999999999E-4</v>
      </c>
      <c r="J52" s="57">
        <f>ROUND(3.6*I52*E49/1000,4)</f>
        <v>3.0999999999999999E-3</v>
      </c>
      <c r="K52" s="368"/>
      <c r="L52" s="368"/>
      <c r="M52" s="368"/>
    </row>
    <row r="53" spans="1:14" ht="57" customHeight="1" x14ac:dyDescent="0.25">
      <c r="A53" s="1386"/>
      <c r="B53" s="1388"/>
      <c r="C53" s="1388"/>
      <c r="D53" s="1390"/>
      <c r="E53" s="1390"/>
      <c r="F53" s="1390"/>
      <c r="G53" s="57" t="s">
        <v>689</v>
      </c>
      <c r="H53" s="475" t="s">
        <v>690</v>
      </c>
      <c r="I53" s="57">
        <v>2.5200000000000001E-3</v>
      </c>
      <c r="J53" s="57">
        <f>ROUND(3.6*I53*E49/1000,5)</f>
        <v>1.9869999999999999E-2</v>
      </c>
      <c r="K53" s="287">
        <f>SUM(I49:I53)</f>
        <v>1.106E-2</v>
      </c>
      <c r="L53" s="287">
        <f>SUM(J49:J53)</f>
        <v>8.7230000000000016E-2</v>
      </c>
      <c r="M53" s="287"/>
    </row>
    <row r="54" spans="1:14" ht="72.75" customHeight="1" x14ac:dyDescent="0.25">
      <c r="A54" s="1385">
        <v>11</v>
      </c>
      <c r="B54" s="1387" t="s">
        <v>748</v>
      </c>
      <c r="C54" s="1387" t="s">
        <v>749</v>
      </c>
      <c r="D54" s="1389" t="s">
        <v>559</v>
      </c>
      <c r="E54" s="1391">
        <v>2190</v>
      </c>
      <c r="F54" s="1391" t="s">
        <v>165</v>
      </c>
      <c r="G54" s="57" t="s">
        <v>420</v>
      </c>
      <c r="H54" s="475" t="s">
        <v>66</v>
      </c>
      <c r="I54" s="57">
        <v>1.1100000000000001E-3</v>
      </c>
      <c r="J54" s="57">
        <f>ROUND(3.6*I54*E54/1000,5)</f>
        <v>8.7500000000000008E-3</v>
      </c>
      <c r="K54" s="287"/>
      <c r="L54" s="287"/>
      <c r="M54" s="287"/>
    </row>
    <row r="55" spans="1:14" ht="72.75" customHeight="1" x14ac:dyDescent="0.25">
      <c r="A55" s="1386"/>
      <c r="B55" s="1388"/>
      <c r="C55" s="1388"/>
      <c r="D55" s="1390"/>
      <c r="E55" s="1390"/>
      <c r="F55" s="1390"/>
      <c r="G55" s="57" t="s">
        <v>422</v>
      </c>
      <c r="H55" s="475" t="s">
        <v>52</v>
      </c>
      <c r="I55" s="57">
        <v>5.5999999999999995E-4</v>
      </c>
      <c r="J55" s="57">
        <f>ROUND(3.6*I55*E54/1000,5)</f>
        <v>4.4200000000000003E-3</v>
      </c>
      <c r="K55" s="287"/>
      <c r="L55" s="287"/>
      <c r="M55" s="287"/>
    </row>
    <row r="56" spans="1:14" ht="72.75" customHeight="1" x14ac:dyDescent="0.25">
      <c r="A56" s="1386"/>
      <c r="B56" s="1388"/>
      <c r="C56" s="1388"/>
      <c r="D56" s="1390"/>
      <c r="E56" s="1390"/>
      <c r="F56" s="1390"/>
      <c r="G56" s="57" t="s">
        <v>739</v>
      </c>
      <c r="H56" s="475" t="s">
        <v>140</v>
      </c>
      <c r="I56" s="57">
        <v>5.2999999999999998E-4</v>
      </c>
      <c r="J56" s="57">
        <f>ROUND(3.6*I56*E54/1000,5)</f>
        <v>4.1799999999999997E-3</v>
      </c>
      <c r="K56" s="287"/>
      <c r="L56" s="287"/>
      <c r="M56" s="287"/>
    </row>
    <row r="57" spans="1:14" ht="72.75" customHeight="1" x14ac:dyDescent="0.25">
      <c r="A57" s="1386"/>
      <c r="B57" s="1388"/>
      <c r="C57" s="1388"/>
      <c r="D57" s="1390"/>
      <c r="E57" s="1390"/>
      <c r="F57" s="1390"/>
      <c r="G57" s="57" t="s">
        <v>423</v>
      </c>
      <c r="H57" s="475" t="s">
        <v>424</v>
      </c>
      <c r="I57" s="57">
        <v>1.7000000000000001E-4</v>
      </c>
      <c r="J57" s="57">
        <f>ROUND(3.6*I57*E54/1000,4)</f>
        <v>1.2999999999999999E-3</v>
      </c>
      <c r="K57" s="368"/>
      <c r="L57" s="368"/>
      <c r="M57" s="368"/>
    </row>
    <row r="58" spans="1:14" ht="72.75" customHeight="1" x14ac:dyDescent="0.25">
      <c r="A58" s="1386"/>
      <c r="B58" s="1388"/>
      <c r="C58" s="1388"/>
      <c r="D58" s="1390"/>
      <c r="E58" s="1390"/>
      <c r="F58" s="1390"/>
      <c r="G58" s="57" t="s">
        <v>416</v>
      </c>
      <c r="H58" s="475" t="s">
        <v>57</v>
      </c>
      <c r="I58" s="57">
        <v>1.1100000000000001E-3</v>
      </c>
      <c r="J58" s="57">
        <f>ROUND(3.6*I58*E54/1000,5)</f>
        <v>8.7500000000000008E-3</v>
      </c>
      <c r="K58" s="287">
        <f>SUM(I54:I58)</f>
        <v>3.4800000000000005E-3</v>
      </c>
      <c r="L58" s="287">
        <f>SUM(J54:J58)</f>
        <v>2.7400000000000001E-2</v>
      </c>
      <c r="M58" s="287"/>
    </row>
    <row r="59" spans="1:14" ht="312.75" customHeight="1" x14ac:dyDescent="0.25">
      <c r="A59" s="25">
        <v>12</v>
      </c>
      <c r="B59" s="57" t="s">
        <v>750</v>
      </c>
      <c r="C59" s="57" t="s">
        <v>605</v>
      </c>
      <c r="D59" s="478" t="s">
        <v>569</v>
      </c>
      <c r="E59" s="477">
        <v>2190</v>
      </c>
      <c r="F59" s="477" t="s">
        <v>165</v>
      </c>
      <c r="G59" s="57" t="s">
        <v>739</v>
      </c>
      <c r="H59" s="475" t="s">
        <v>140</v>
      </c>
      <c r="I59" s="57">
        <v>2.8700000000000002E-3</v>
      </c>
      <c r="J59" s="57">
        <f>ROUND(3.6*I59*E59/1000,4)</f>
        <v>2.2599999999999999E-2</v>
      </c>
      <c r="K59" s="368">
        <f>I59</f>
        <v>2.8700000000000002E-3</v>
      </c>
      <c r="L59" s="368">
        <f>J59</f>
        <v>2.2599999999999999E-2</v>
      </c>
      <c r="M59" s="368"/>
      <c r="N59" s="62"/>
    </row>
    <row r="60" spans="1:14" s="253" customFormat="1" ht="53.25" customHeight="1" x14ac:dyDescent="0.25">
      <c r="A60" s="1171">
        <v>13</v>
      </c>
      <c r="B60" s="1391" t="s">
        <v>607</v>
      </c>
      <c r="C60" s="1391" t="s">
        <v>608</v>
      </c>
      <c r="D60" s="1389" t="s">
        <v>736</v>
      </c>
      <c r="E60" s="1391">
        <v>1038</v>
      </c>
      <c r="F60" s="1391" t="s">
        <v>165</v>
      </c>
      <c r="G60" s="477" t="s">
        <v>570</v>
      </c>
      <c r="H60" s="478" t="s">
        <v>571</v>
      </c>
      <c r="I60" s="477">
        <v>4.2000000000000002E-4</v>
      </c>
      <c r="J60" s="477">
        <f>ROUND(3.6*I60*E60/1000,5)</f>
        <v>1.57E-3</v>
      </c>
      <c r="K60" s="291"/>
      <c r="L60" s="291"/>
      <c r="M60" s="291"/>
      <c r="N60" s="379"/>
    </row>
    <row r="61" spans="1:14" s="253" customFormat="1" ht="53.25" customHeight="1" x14ac:dyDescent="0.25">
      <c r="A61" s="1397"/>
      <c r="B61" s="1390"/>
      <c r="C61" s="1390"/>
      <c r="D61" s="1390"/>
      <c r="E61" s="1390"/>
      <c r="F61" s="1390"/>
      <c r="G61" s="477" t="s">
        <v>573</v>
      </c>
      <c r="H61" s="479" t="s">
        <v>572</v>
      </c>
      <c r="I61" s="477">
        <v>6.0000000000000002E-5</v>
      </c>
      <c r="J61" s="477">
        <f>ROUND(3.6*I61*E60/1000,5)</f>
        <v>2.2000000000000001E-4</v>
      </c>
      <c r="K61" s="291"/>
      <c r="L61" s="291"/>
      <c r="M61" s="291"/>
    </row>
    <row r="62" spans="1:14" s="253" customFormat="1" ht="53.25" customHeight="1" x14ac:dyDescent="0.25">
      <c r="A62" s="1397"/>
      <c r="B62" s="1390"/>
      <c r="C62" s="1390"/>
      <c r="D62" s="1390"/>
      <c r="E62" s="1390"/>
      <c r="F62" s="1390"/>
      <c r="G62" s="477" t="s">
        <v>416</v>
      </c>
      <c r="H62" s="478" t="s">
        <v>57</v>
      </c>
      <c r="I62" s="477">
        <v>1.48E-6</v>
      </c>
      <c r="J62" s="477">
        <f>ROUND(3.6*I62*E60/1000,5)</f>
        <v>1.0000000000000001E-5</v>
      </c>
      <c r="K62" s="291"/>
      <c r="L62" s="291"/>
      <c r="M62" s="291"/>
    </row>
    <row r="63" spans="1:14" s="253" customFormat="1" ht="53.25" customHeight="1" x14ac:dyDescent="0.25">
      <c r="A63" s="1397"/>
      <c r="B63" s="1390"/>
      <c r="C63" s="1390"/>
      <c r="D63" s="1390"/>
      <c r="E63" s="1390"/>
      <c r="F63" s="1390"/>
      <c r="G63" s="477" t="s">
        <v>213</v>
      </c>
      <c r="H63" s="478" t="s">
        <v>62</v>
      </c>
      <c r="I63" s="477">
        <v>6.9999999999999994E-5</v>
      </c>
      <c r="J63" s="477">
        <f>ROUND(3.6*I63*E60/1000,5)</f>
        <v>2.5999999999999998E-4</v>
      </c>
      <c r="K63" s="291">
        <f>SUM(I60:I63)</f>
        <v>5.5148000000000003E-4</v>
      </c>
      <c r="L63" s="291">
        <f>SUM(J60:J63)</f>
        <v>2.0599999999999998E-3</v>
      </c>
      <c r="M63" s="291"/>
    </row>
    <row r="64" spans="1:14" ht="22.5" customHeight="1" x14ac:dyDescent="0.25">
      <c r="A64" s="1061">
        <v>14</v>
      </c>
      <c r="B64" s="1085" t="s">
        <v>610</v>
      </c>
      <c r="C64" s="1085" t="s">
        <v>575</v>
      </c>
      <c r="D64" s="1383" t="s">
        <v>578</v>
      </c>
      <c r="E64" s="1292">
        <v>1038</v>
      </c>
      <c r="F64" s="1292" t="s">
        <v>165</v>
      </c>
      <c r="G64" s="57" t="s">
        <v>570</v>
      </c>
      <c r="H64" s="475" t="s">
        <v>571</v>
      </c>
      <c r="I64" s="57">
        <v>1.8199999999999999E-6</v>
      </c>
      <c r="J64" s="57">
        <f>ROUND(3.6*I64*E64/1000,5)</f>
        <v>1.0000000000000001E-5</v>
      </c>
      <c r="K64" s="287"/>
      <c r="L64" s="287"/>
      <c r="M64" s="287"/>
      <c r="N64" s="62"/>
    </row>
    <row r="65" spans="1:14" ht="24.75" customHeight="1" x14ac:dyDescent="0.25">
      <c r="A65" s="1398"/>
      <c r="B65" s="1086"/>
      <c r="C65" s="1086"/>
      <c r="D65" s="1399"/>
      <c r="E65" s="1357"/>
      <c r="F65" s="1357"/>
      <c r="G65" s="57" t="s">
        <v>416</v>
      </c>
      <c r="H65" s="475" t="s">
        <v>57</v>
      </c>
      <c r="I65" s="57">
        <v>1.8199999999999999E-6</v>
      </c>
      <c r="J65" s="57">
        <f>ROUND(3.6*I65*E64/1000,5)</f>
        <v>1.0000000000000001E-5</v>
      </c>
      <c r="K65" s="287">
        <f>SUM(I64:I65)</f>
        <v>3.6399999999999999E-6</v>
      </c>
      <c r="L65" s="287">
        <f>SUM(J64:J65)</f>
        <v>2.0000000000000002E-5</v>
      </c>
      <c r="M65" s="287"/>
    </row>
    <row r="66" spans="1:14" ht="63" customHeight="1" x14ac:dyDescent="0.25">
      <c r="A66" s="1385">
        <v>15</v>
      </c>
      <c r="B66" s="1387" t="s">
        <v>612</v>
      </c>
      <c r="C66" s="1387" t="s">
        <v>741</v>
      </c>
      <c r="D66" s="1389" t="s">
        <v>693</v>
      </c>
      <c r="E66" s="1391">
        <v>1038</v>
      </c>
      <c r="F66" s="1391" t="s">
        <v>165</v>
      </c>
      <c r="G66" s="57" t="s">
        <v>570</v>
      </c>
      <c r="H66" s="475" t="s">
        <v>571</v>
      </c>
      <c r="I66" s="57">
        <v>5.0000000000000002E-5</v>
      </c>
      <c r="J66" s="57">
        <f>ROUND(3.6*I66*E66/1000,5)</f>
        <v>1.9000000000000001E-4</v>
      </c>
      <c r="K66" s="287"/>
      <c r="L66" s="287"/>
      <c r="M66" s="287"/>
      <c r="N66" s="62"/>
    </row>
    <row r="67" spans="1:14" ht="63" customHeight="1" x14ac:dyDescent="0.25">
      <c r="A67" s="1386"/>
      <c r="B67" s="1388"/>
      <c r="C67" s="1388"/>
      <c r="D67" s="1390"/>
      <c r="E67" s="1390"/>
      <c r="F67" s="1390"/>
      <c r="G67" s="57" t="s">
        <v>573</v>
      </c>
      <c r="H67" s="56" t="s">
        <v>572</v>
      </c>
      <c r="I67" s="57">
        <v>1.0000000000000001E-5</v>
      </c>
      <c r="J67" s="57">
        <f>ROUND(3.6*I67*E66/1000,5)</f>
        <v>4.0000000000000003E-5</v>
      </c>
      <c r="K67" s="287"/>
      <c r="L67" s="287"/>
      <c r="M67" s="287"/>
    </row>
    <row r="68" spans="1:14" ht="63" customHeight="1" x14ac:dyDescent="0.25">
      <c r="A68" s="1386"/>
      <c r="B68" s="1388"/>
      <c r="C68" s="1388"/>
      <c r="D68" s="1390"/>
      <c r="E68" s="1390"/>
      <c r="F68" s="1390"/>
      <c r="G68" s="57" t="s">
        <v>442</v>
      </c>
      <c r="H68" s="56" t="s">
        <v>441</v>
      </c>
      <c r="I68" s="57">
        <v>4.8900000000000002E-3</v>
      </c>
      <c r="J68" s="57">
        <f>ROUND(3.6*I68*E66/1000,5)</f>
        <v>1.8270000000000002E-2</v>
      </c>
      <c r="K68" s="287"/>
      <c r="L68" s="287"/>
      <c r="M68" s="287"/>
    </row>
    <row r="69" spans="1:14" ht="63" customHeight="1" x14ac:dyDescent="0.25">
      <c r="A69" s="1386"/>
      <c r="B69" s="1388"/>
      <c r="C69" s="1388"/>
      <c r="D69" s="1390"/>
      <c r="E69" s="1390"/>
      <c r="F69" s="1390"/>
      <c r="G69" s="57" t="s">
        <v>579</v>
      </c>
      <c r="H69" s="56" t="s">
        <v>580</v>
      </c>
      <c r="I69" s="57">
        <v>1.83E-3</v>
      </c>
      <c r="J69" s="57">
        <f>ROUND(3.6*I69*E66/1000,4)</f>
        <v>6.7999999999999996E-3</v>
      </c>
      <c r="K69" s="287">
        <f>SUM(I66:I69)</f>
        <v>6.7800000000000004E-3</v>
      </c>
      <c r="L69" s="287">
        <f>SUM(J66:J69)</f>
        <v>2.5300000000000003E-2</v>
      </c>
      <c r="M69" s="368"/>
    </row>
    <row r="70" spans="1:14" ht="28.5" customHeight="1" x14ac:dyDescent="0.25">
      <c r="A70" s="1385">
        <v>16</v>
      </c>
      <c r="B70" s="1387" t="s">
        <v>614</v>
      </c>
      <c r="C70" s="1387" t="s">
        <v>742</v>
      </c>
      <c r="D70" s="1389" t="s">
        <v>737</v>
      </c>
      <c r="E70" s="1391">
        <v>1038</v>
      </c>
      <c r="F70" s="1391" t="s">
        <v>165</v>
      </c>
      <c r="G70" s="57" t="s">
        <v>570</v>
      </c>
      <c r="H70" s="475" t="s">
        <v>571</v>
      </c>
      <c r="I70" s="57">
        <v>4.4000000000000002E-4</v>
      </c>
      <c r="J70" s="57">
        <f>ROUND(3.6*I70*E70/1000,5)</f>
        <v>1.64E-3</v>
      </c>
      <c r="K70" s="287"/>
      <c r="L70" s="287"/>
      <c r="M70" s="287"/>
      <c r="N70" s="62"/>
    </row>
    <row r="71" spans="1:14" ht="28.5" customHeight="1" x14ac:dyDescent="0.25">
      <c r="A71" s="1386"/>
      <c r="B71" s="1388"/>
      <c r="C71" s="1388"/>
      <c r="D71" s="1390"/>
      <c r="E71" s="1390"/>
      <c r="F71" s="1390"/>
      <c r="G71" s="57" t="s">
        <v>250</v>
      </c>
      <c r="H71" s="56" t="s">
        <v>251</v>
      </c>
      <c r="I71" s="57">
        <v>1.0000000000000001E-5</v>
      </c>
      <c r="J71" s="57">
        <f>ROUND(3.6*I71*E70/1000,5)</f>
        <v>4.0000000000000003E-5</v>
      </c>
      <c r="K71" s="287"/>
      <c r="L71" s="287"/>
      <c r="M71" s="287"/>
    </row>
    <row r="72" spans="1:14" ht="28.5" customHeight="1" x14ac:dyDescent="0.25">
      <c r="A72" s="1386"/>
      <c r="B72" s="1388"/>
      <c r="C72" s="1388"/>
      <c r="D72" s="1390"/>
      <c r="E72" s="1390"/>
      <c r="F72" s="1390"/>
      <c r="G72" s="57" t="s">
        <v>573</v>
      </c>
      <c r="H72" s="56" t="s">
        <v>572</v>
      </c>
      <c r="I72" s="57">
        <v>6.0000000000000002E-5</v>
      </c>
      <c r="J72" s="57">
        <f>ROUND(3.6*I72*E70/1000,5)</f>
        <v>2.2000000000000001E-4</v>
      </c>
      <c r="K72" s="287"/>
      <c r="L72" s="287"/>
      <c r="M72" s="287"/>
    </row>
    <row r="73" spans="1:14" ht="63.75" customHeight="1" x14ac:dyDescent="0.25">
      <c r="A73" s="1386"/>
      <c r="B73" s="1388"/>
      <c r="C73" s="1388"/>
      <c r="D73" s="1390"/>
      <c r="E73" s="1390"/>
      <c r="F73" s="1390"/>
      <c r="G73" s="57" t="s">
        <v>414</v>
      </c>
      <c r="H73" s="475" t="s">
        <v>415</v>
      </c>
      <c r="I73" s="57">
        <v>2.2000000000000001E-4</v>
      </c>
      <c r="J73" s="57">
        <f>ROUND(3.6*I73*E70/1000,4)</f>
        <v>8.0000000000000004E-4</v>
      </c>
      <c r="K73" s="287">
        <f>SUM(I70:I73)</f>
        <v>7.3000000000000007E-4</v>
      </c>
      <c r="L73" s="287">
        <f>SUM(J70:J73)</f>
        <v>2.7000000000000001E-3</v>
      </c>
      <c r="M73" s="368"/>
    </row>
    <row r="74" spans="1:14" ht="29.25" customHeight="1" x14ac:dyDescent="0.25">
      <c r="A74" s="1385">
        <v>17</v>
      </c>
      <c r="B74" s="1387" t="s">
        <v>614</v>
      </c>
      <c r="C74" s="1387" t="s">
        <v>742</v>
      </c>
      <c r="D74" s="1389" t="s">
        <v>695</v>
      </c>
      <c r="E74" s="1391">
        <v>1038</v>
      </c>
      <c r="F74" s="1391" t="s">
        <v>165</v>
      </c>
      <c r="G74" s="57" t="s">
        <v>570</v>
      </c>
      <c r="H74" s="475" t="s">
        <v>571</v>
      </c>
      <c r="I74" s="57">
        <v>4.4000000000000002E-4</v>
      </c>
      <c r="J74" s="57">
        <f>ROUND(3.6*I74*E74/1000,5)</f>
        <v>1.64E-3</v>
      </c>
      <c r="K74" s="287"/>
      <c r="L74" s="287"/>
      <c r="M74" s="287"/>
      <c r="N74" s="62"/>
    </row>
    <row r="75" spans="1:14" ht="29.25" customHeight="1" x14ac:dyDescent="0.25">
      <c r="A75" s="1386"/>
      <c r="B75" s="1388"/>
      <c r="C75" s="1388"/>
      <c r="D75" s="1390"/>
      <c r="E75" s="1390"/>
      <c r="F75" s="1390"/>
      <c r="G75" s="57" t="s">
        <v>250</v>
      </c>
      <c r="H75" s="56" t="s">
        <v>251</v>
      </c>
      <c r="I75" s="57">
        <v>1.0000000000000001E-5</v>
      </c>
      <c r="J75" s="57">
        <f>ROUND(3.6*I75*E74/1000,5)</f>
        <v>4.0000000000000003E-5</v>
      </c>
      <c r="K75" s="287"/>
      <c r="L75" s="287"/>
      <c r="M75" s="287"/>
    </row>
    <row r="76" spans="1:14" ht="29.25" customHeight="1" x14ac:dyDescent="0.25">
      <c r="A76" s="1386"/>
      <c r="B76" s="1388"/>
      <c r="C76" s="1388"/>
      <c r="D76" s="1390"/>
      <c r="E76" s="1390"/>
      <c r="F76" s="1390"/>
      <c r="G76" s="57" t="s">
        <v>573</v>
      </c>
      <c r="H76" s="56" t="s">
        <v>572</v>
      </c>
      <c r="I76" s="57">
        <v>6.0000000000000002E-5</v>
      </c>
      <c r="J76" s="57">
        <f>ROUND(3.6*I76*E74/1000,5)</f>
        <v>2.2000000000000001E-4</v>
      </c>
      <c r="K76" s="287"/>
      <c r="L76" s="287"/>
      <c r="M76" s="287"/>
    </row>
    <row r="77" spans="1:14" ht="69" customHeight="1" x14ac:dyDescent="0.25">
      <c r="A77" s="1386"/>
      <c r="B77" s="1388"/>
      <c r="C77" s="1388"/>
      <c r="D77" s="1390"/>
      <c r="E77" s="1390"/>
      <c r="F77" s="1390"/>
      <c r="G77" s="57" t="s">
        <v>414</v>
      </c>
      <c r="H77" s="475" t="s">
        <v>415</v>
      </c>
      <c r="I77" s="57">
        <v>2.2000000000000001E-4</v>
      </c>
      <c r="J77" s="57">
        <f>ROUND(3.6*I77*E74/1000,4)</f>
        <v>8.0000000000000004E-4</v>
      </c>
      <c r="K77" s="287">
        <f>SUM(I74:I77)</f>
        <v>7.3000000000000007E-4</v>
      </c>
      <c r="L77" s="287">
        <f>SUM(J74:J77)</f>
        <v>2.7000000000000001E-3</v>
      </c>
      <c r="M77" s="368"/>
    </row>
    <row r="78" spans="1:14" ht="39.75" customHeight="1" x14ac:dyDescent="0.25">
      <c r="A78" s="25">
        <v>18</v>
      </c>
      <c r="B78" s="57" t="s">
        <v>617</v>
      </c>
      <c r="C78" s="57" t="s">
        <v>618</v>
      </c>
      <c r="D78" s="478" t="s">
        <v>594</v>
      </c>
      <c r="E78" s="477">
        <v>2190</v>
      </c>
      <c r="F78" s="477" t="s">
        <v>165</v>
      </c>
      <c r="G78" s="57" t="s">
        <v>570</v>
      </c>
      <c r="H78" s="475" t="s">
        <v>571</v>
      </c>
      <c r="I78" s="57">
        <v>7.0200000000000002E-3</v>
      </c>
      <c r="J78" s="57">
        <f>ROUND(3.6*I78*E78/1000,5)</f>
        <v>5.5350000000000003E-2</v>
      </c>
      <c r="K78" s="287">
        <f>I78</f>
        <v>7.0200000000000002E-3</v>
      </c>
      <c r="L78" s="287">
        <f>J78</f>
        <v>5.5350000000000003E-2</v>
      </c>
      <c r="M78" s="287"/>
      <c r="N78" s="62"/>
    </row>
    <row r="79" spans="1:14" ht="22.5" customHeight="1" x14ac:dyDescent="0.25">
      <c r="A79" s="1385">
        <v>19</v>
      </c>
      <c r="B79" s="1387" t="s">
        <v>617</v>
      </c>
      <c r="C79" s="1387" t="s">
        <v>620</v>
      </c>
      <c r="D79" s="1389" t="s">
        <v>596</v>
      </c>
      <c r="E79" s="1391">
        <v>2190</v>
      </c>
      <c r="F79" s="1391" t="s">
        <v>165</v>
      </c>
      <c r="G79" s="57" t="s">
        <v>570</v>
      </c>
      <c r="H79" s="475" t="s">
        <v>571</v>
      </c>
      <c r="I79" s="57">
        <v>5.0000000000000001E-4</v>
      </c>
      <c r="J79" s="57">
        <f>ROUND(3.6*I79*E79/1000,5)</f>
        <v>3.9399999999999999E-3</v>
      </c>
      <c r="K79" s="287"/>
      <c r="L79" s="287"/>
      <c r="M79" s="287"/>
      <c r="N79" s="62"/>
    </row>
    <row r="80" spans="1:14" ht="25.5" customHeight="1" x14ac:dyDescent="0.25">
      <c r="A80" s="1386"/>
      <c r="B80" s="1388"/>
      <c r="C80" s="1388"/>
      <c r="D80" s="1390"/>
      <c r="E80" s="1390"/>
      <c r="F80" s="1390"/>
      <c r="G80" s="57" t="s">
        <v>573</v>
      </c>
      <c r="H80" s="56" t="s">
        <v>572</v>
      </c>
      <c r="I80" s="57">
        <v>1.25E-3</v>
      </c>
      <c r="J80" s="57">
        <f>ROUND(3.6*I80*E79/1000,5)</f>
        <v>9.8600000000000007E-3</v>
      </c>
      <c r="K80" s="287">
        <f>SUM(I79:I80)</f>
        <v>1.75E-3</v>
      </c>
      <c r="L80" s="287">
        <f>SUM(J79:J80)</f>
        <v>1.38E-2</v>
      </c>
      <c r="M80" s="287"/>
    </row>
    <row r="81" spans="1:16" ht="38.25" x14ac:dyDescent="0.25">
      <c r="A81" s="25">
        <v>20</v>
      </c>
      <c r="B81" s="57" t="s">
        <v>617</v>
      </c>
      <c r="C81" s="57" t="s">
        <v>622</v>
      </c>
      <c r="D81" s="478" t="s">
        <v>599</v>
      </c>
      <c r="E81" s="477">
        <v>2190</v>
      </c>
      <c r="F81" s="477" t="s">
        <v>165</v>
      </c>
      <c r="G81" s="57" t="s">
        <v>570</v>
      </c>
      <c r="H81" s="475" t="s">
        <v>571</v>
      </c>
      <c r="I81" s="57">
        <v>2.7999999999999998E-4</v>
      </c>
      <c r="J81" s="57">
        <f>ROUND(3.6*I81*E81/1000,5)</f>
        <v>2.2100000000000002E-3</v>
      </c>
      <c r="K81" s="287">
        <f>I81</f>
        <v>2.7999999999999998E-4</v>
      </c>
      <c r="L81" s="287">
        <f>J81</f>
        <v>2.2100000000000002E-3</v>
      </c>
      <c r="M81" s="287"/>
      <c r="N81" s="62"/>
    </row>
    <row r="82" spans="1:16" ht="38.25" x14ac:dyDescent="0.25">
      <c r="A82" s="25">
        <v>21</v>
      </c>
      <c r="B82" s="57" t="s">
        <v>617</v>
      </c>
      <c r="C82" s="57" t="s">
        <v>624</v>
      </c>
      <c r="D82" s="478" t="s">
        <v>601</v>
      </c>
      <c r="E82" s="477">
        <v>2190</v>
      </c>
      <c r="F82" s="477" t="s">
        <v>1451</v>
      </c>
      <c r="G82" s="57" t="s">
        <v>213</v>
      </c>
      <c r="H82" s="475" t="s">
        <v>62</v>
      </c>
      <c r="I82" s="57">
        <v>4.0000000000000003E-5</v>
      </c>
      <c r="J82" s="57">
        <f>ROUND(3.6*I82*E82/1000,5)</f>
        <v>3.2000000000000003E-4</v>
      </c>
      <c r="K82" s="287">
        <f>I82</f>
        <v>4.0000000000000003E-5</v>
      </c>
      <c r="L82" s="287">
        <f>J82</f>
        <v>3.2000000000000003E-4</v>
      </c>
      <c r="M82" s="287"/>
      <c r="N82" s="62"/>
      <c r="P82">
        <f>2300/3600</f>
        <v>0.63888888888888884</v>
      </c>
    </row>
    <row r="83" spans="1:16" ht="35.25" customHeight="1" x14ac:dyDescent="0.25">
      <c r="A83" s="1385">
        <v>22</v>
      </c>
      <c r="B83" s="1387" t="s">
        <v>617</v>
      </c>
      <c r="C83" s="1387" t="s">
        <v>626</v>
      </c>
      <c r="D83" s="1389" t="s">
        <v>604</v>
      </c>
      <c r="E83" s="1391">
        <v>2190</v>
      </c>
      <c r="F83" s="1391" t="s">
        <v>165</v>
      </c>
      <c r="G83" s="57" t="s">
        <v>570</v>
      </c>
      <c r="H83" s="475" t="s">
        <v>571</v>
      </c>
      <c r="I83" s="57">
        <v>1.2E-4</v>
      </c>
      <c r="J83" s="57">
        <f>ROUND(3.6*I83*E83/1000,5)</f>
        <v>9.5E-4</v>
      </c>
      <c r="K83" s="287"/>
      <c r="L83" s="287"/>
      <c r="M83" s="287"/>
      <c r="N83" s="62"/>
    </row>
    <row r="84" spans="1:16" ht="39.75" customHeight="1" x14ac:dyDescent="0.25">
      <c r="A84" s="1386"/>
      <c r="B84" s="1388"/>
      <c r="C84" s="1388"/>
      <c r="D84" s="1390"/>
      <c r="E84" s="1390"/>
      <c r="F84" s="1390"/>
      <c r="G84" s="57" t="s">
        <v>573</v>
      </c>
      <c r="H84" s="56" t="s">
        <v>572</v>
      </c>
      <c r="I84" s="57">
        <v>3.0000000000000001E-6</v>
      </c>
      <c r="J84" s="57">
        <f>ROUND(3.6*I84*E83/1000,5)</f>
        <v>2.0000000000000002E-5</v>
      </c>
      <c r="K84" s="287">
        <f>SUM(I83:I84)</f>
        <v>1.2300000000000001E-4</v>
      </c>
      <c r="L84" s="287">
        <f>SUM(J83:J84)</f>
        <v>9.7000000000000005E-4</v>
      </c>
      <c r="M84" s="287"/>
    </row>
    <row r="85" spans="1:16" x14ac:dyDescent="0.25">
      <c r="A85" s="1385">
        <v>23</v>
      </c>
      <c r="B85" s="1387" t="s">
        <v>628</v>
      </c>
      <c r="C85" s="1387" t="s">
        <v>629</v>
      </c>
      <c r="D85" s="1389" t="s">
        <v>606</v>
      </c>
      <c r="E85" s="1391">
        <v>2190</v>
      </c>
      <c r="F85" s="1391" t="s">
        <v>165</v>
      </c>
      <c r="G85" s="57" t="s">
        <v>570</v>
      </c>
      <c r="H85" s="475" t="s">
        <v>571</v>
      </c>
      <c r="I85" s="57">
        <v>5.2999999999999998E-4</v>
      </c>
      <c r="J85" s="57">
        <f>ROUND(3.6*I85*E85/1000,5)</f>
        <v>4.1799999999999997E-3</v>
      </c>
      <c r="K85" s="287"/>
      <c r="L85" s="287"/>
      <c r="M85" s="287"/>
      <c r="N85" s="62"/>
    </row>
    <row r="86" spans="1:16" x14ac:dyDescent="0.25">
      <c r="A86" s="1386"/>
      <c r="B86" s="1388"/>
      <c r="C86" s="1388"/>
      <c r="D86" s="1390"/>
      <c r="E86" s="1390"/>
      <c r="F86" s="1390"/>
      <c r="G86" s="57" t="s">
        <v>250</v>
      </c>
      <c r="H86" s="56" t="s">
        <v>251</v>
      </c>
      <c r="I86" s="57">
        <v>1.0000000000000001E-5</v>
      </c>
      <c r="J86" s="57">
        <f>ROUND(3.6*I86*E85/1000,5)</f>
        <v>8.0000000000000007E-5</v>
      </c>
      <c r="K86" s="287">
        <f>SUM(I85:I86)</f>
        <v>5.4000000000000001E-4</v>
      </c>
      <c r="L86" s="287">
        <f>SUM(J85:J86)</f>
        <v>4.2599999999999999E-3</v>
      </c>
      <c r="M86" s="287"/>
    </row>
    <row r="87" spans="1:16" x14ac:dyDescent="0.25">
      <c r="A87" s="1385">
        <v>24</v>
      </c>
      <c r="B87" s="1387" t="s">
        <v>631</v>
      </c>
      <c r="C87" s="1387" t="s">
        <v>575</v>
      </c>
      <c r="D87" s="1389" t="s">
        <v>609</v>
      </c>
      <c r="E87" s="1391">
        <v>2190</v>
      </c>
      <c r="F87" s="1391" t="s">
        <v>165</v>
      </c>
      <c r="G87" s="57" t="s">
        <v>570</v>
      </c>
      <c r="H87" s="475" t="s">
        <v>571</v>
      </c>
      <c r="I87" s="57">
        <v>4.0000000000000003E-5</v>
      </c>
      <c r="J87" s="57">
        <f>ROUND(3.6*I87*E87/1000,5)</f>
        <v>3.2000000000000003E-4</v>
      </c>
      <c r="K87" s="287"/>
      <c r="L87" s="287"/>
      <c r="M87" s="287"/>
      <c r="N87" s="62"/>
    </row>
    <row r="88" spans="1:16" x14ac:dyDescent="0.25">
      <c r="A88" s="1386"/>
      <c r="B88" s="1388"/>
      <c r="C88" s="1388"/>
      <c r="D88" s="1390"/>
      <c r="E88" s="1390"/>
      <c r="F88" s="1390"/>
      <c r="G88" s="57" t="s">
        <v>416</v>
      </c>
      <c r="H88" s="475" t="s">
        <v>57</v>
      </c>
      <c r="I88" s="57">
        <v>4.0000000000000003E-5</v>
      </c>
      <c r="J88" s="57">
        <f>ROUND(3.6*I88*E87/1000,5)</f>
        <v>3.2000000000000003E-4</v>
      </c>
      <c r="K88" s="287">
        <f>SUM(I87:I88)</f>
        <v>8.0000000000000007E-5</v>
      </c>
      <c r="L88" s="287">
        <f>SUM(J87:J88)</f>
        <v>6.4000000000000005E-4</v>
      </c>
      <c r="M88" s="287"/>
    </row>
    <row r="89" spans="1:16" ht="38.25" x14ac:dyDescent="0.25">
      <c r="A89" s="25">
        <v>25</v>
      </c>
      <c r="B89" s="57" t="s">
        <v>617</v>
      </c>
      <c r="C89" s="57" t="s">
        <v>633</v>
      </c>
      <c r="D89" s="478" t="s">
        <v>611</v>
      </c>
      <c r="E89" s="477">
        <v>2190</v>
      </c>
      <c r="F89" s="477" t="s">
        <v>165</v>
      </c>
      <c r="G89" s="57" t="s">
        <v>416</v>
      </c>
      <c r="H89" s="475" t="s">
        <v>57</v>
      </c>
      <c r="I89" s="57">
        <v>3.0000000000000001E-5</v>
      </c>
      <c r="J89" s="57">
        <f>ROUND(3.6*I89*E89/1000,5)</f>
        <v>2.4000000000000001E-4</v>
      </c>
      <c r="K89" s="287">
        <f>I89</f>
        <v>3.0000000000000001E-5</v>
      </c>
      <c r="L89" s="287">
        <f>J89</f>
        <v>2.4000000000000001E-4</v>
      </c>
      <c r="M89" s="287"/>
      <c r="N89" s="62"/>
    </row>
    <row r="90" spans="1:16" ht="18.75" customHeight="1" x14ac:dyDescent="0.25">
      <c r="A90" s="1385">
        <v>26</v>
      </c>
      <c r="B90" s="1387" t="s">
        <v>635</v>
      </c>
      <c r="C90" s="1387" t="s">
        <v>636</v>
      </c>
      <c r="D90" s="1389" t="s">
        <v>613</v>
      </c>
      <c r="E90" s="1391">
        <v>2190</v>
      </c>
      <c r="F90" s="1391" t="s">
        <v>165</v>
      </c>
      <c r="G90" s="57" t="s">
        <v>570</v>
      </c>
      <c r="H90" s="475" t="s">
        <v>571</v>
      </c>
      <c r="I90" s="57">
        <v>2.5000000000000001E-4</v>
      </c>
      <c r="J90" s="57">
        <f>ROUND(3.6*I90*E90/1000,5)</f>
        <v>1.97E-3</v>
      </c>
      <c r="K90" s="287"/>
      <c r="L90" s="287"/>
      <c r="M90" s="287"/>
      <c r="N90" s="62"/>
    </row>
    <row r="91" spans="1:16" ht="23.25" customHeight="1" x14ac:dyDescent="0.25">
      <c r="A91" s="1386"/>
      <c r="B91" s="1388"/>
      <c r="C91" s="1388"/>
      <c r="D91" s="1390"/>
      <c r="E91" s="1390"/>
      <c r="F91" s="1390"/>
      <c r="G91" s="57" t="s">
        <v>573</v>
      </c>
      <c r="H91" s="56" t="s">
        <v>572</v>
      </c>
      <c r="I91" s="57">
        <v>7.5000000000000002E-4</v>
      </c>
      <c r="J91" s="57">
        <f>ROUND(3.6*I91*E90/1000,5)</f>
        <v>5.9100000000000003E-3</v>
      </c>
      <c r="K91" s="287">
        <f>SUM(I90:I91)</f>
        <v>1E-3</v>
      </c>
      <c r="L91" s="287">
        <f>SUM(J90:J91)</f>
        <v>7.8799999999999999E-3</v>
      </c>
      <c r="M91" s="287"/>
    </row>
    <row r="92" spans="1:16" ht="21" customHeight="1" x14ac:dyDescent="0.25">
      <c r="A92" s="1385">
        <v>27</v>
      </c>
      <c r="B92" s="1387" t="s">
        <v>635</v>
      </c>
      <c r="C92" s="1387" t="s">
        <v>638</v>
      </c>
      <c r="D92" s="1389" t="s">
        <v>615</v>
      </c>
      <c r="E92" s="1391">
        <v>2190</v>
      </c>
      <c r="F92" s="1395" t="s">
        <v>1484</v>
      </c>
      <c r="G92" s="57" t="s">
        <v>570</v>
      </c>
      <c r="H92" s="475" t="s">
        <v>571</v>
      </c>
      <c r="I92" s="57">
        <v>1.3999999999999999E-4</v>
      </c>
      <c r="J92" s="57">
        <f>ROUND(3.6*I92*E92/1000,5)</f>
        <v>1.1000000000000001E-3</v>
      </c>
      <c r="K92" s="287"/>
      <c r="L92" s="287"/>
      <c r="M92" s="287"/>
      <c r="N92" s="62"/>
    </row>
    <row r="93" spans="1:16" ht="51" x14ac:dyDescent="0.25">
      <c r="A93" s="1386"/>
      <c r="B93" s="1388"/>
      <c r="C93" s="1388"/>
      <c r="D93" s="1390"/>
      <c r="E93" s="1390"/>
      <c r="F93" s="1396"/>
      <c r="G93" s="57" t="s">
        <v>590</v>
      </c>
      <c r="H93" s="475" t="s">
        <v>591</v>
      </c>
      <c r="I93" s="57">
        <v>2.4000000000000001E-4</v>
      </c>
      <c r="J93" s="57">
        <f>ROUND(3.6*I93*E92/1000,5)</f>
        <v>1.89E-3</v>
      </c>
      <c r="K93" s="287"/>
      <c r="L93" s="287"/>
      <c r="M93" s="287"/>
    </row>
    <row r="94" spans="1:16" ht="21.75" customHeight="1" x14ac:dyDescent="0.25">
      <c r="A94" s="1386"/>
      <c r="B94" s="1388"/>
      <c r="C94" s="1388"/>
      <c r="D94" s="1390"/>
      <c r="E94" s="1390"/>
      <c r="F94" s="1396"/>
      <c r="G94" s="57" t="s">
        <v>250</v>
      </c>
      <c r="H94" s="56" t="s">
        <v>251</v>
      </c>
      <c r="I94" s="57">
        <v>1.6000000000000001E-4</v>
      </c>
      <c r="J94" s="57">
        <f>ROUND(3.6*I94*E92/1000,5)</f>
        <v>1.2600000000000001E-3</v>
      </c>
      <c r="K94" s="287">
        <f>SUM(I92:I94)</f>
        <v>5.4000000000000001E-4</v>
      </c>
      <c r="L94" s="287">
        <f>SUM(J92:J94)</f>
        <v>4.2500000000000003E-3</v>
      </c>
      <c r="M94" s="287"/>
    </row>
    <row r="95" spans="1:16" ht="43.5" customHeight="1" x14ac:dyDescent="0.25">
      <c r="A95" s="1385">
        <v>28</v>
      </c>
      <c r="B95" s="1387" t="s">
        <v>635</v>
      </c>
      <c r="C95" s="1387" t="s">
        <v>640</v>
      </c>
      <c r="D95" s="1389" t="s">
        <v>616</v>
      </c>
      <c r="E95" s="1391">
        <v>2190</v>
      </c>
      <c r="F95" s="1391" t="s">
        <v>165</v>
      </c>
      <c r="G95" s="57" t="s">
        <v>570</v>
      </c>
      <c r="H95" s="475" t="s">
        <v>571</v>
      </c>
      <c r="I95" s="57">
        <v>1.065E-2</v>
      </c>
      <c r="J95" s="57">
        <f>ROUND(3.6*I95*E95/1000,5)</f>
        <v>8.3960000000000007E-2</v>
      </c>
      <c r="K95" s="287"/>
      <c r="L95" s="287"/>
      <c r="M95" s="287"/>
      <c r="N95" s="62"/>
    </row>
    <row r="96" spans="1:16" ht="47.25" customHeight="1" x14ac:dyDescent="0.25">
      <c r="A96" s="1386"/>
      <c r="B96" s="1388"/>
      <c r="C96" s="1388"/>
      <c r="D96" s="1390"/>
      <c r="E96" s="1390"/>
      <c r="F96" s="1390"/>
      <c r="G96" s="57" t="s">
        <v>250</v>
      </c>
      <c r="H96" s="56" t="s">
        <v>251</v>
      </c>
      <c r="I96" s="57">
        <v>2.5559999999999999E-2</v>
      </c>
      <c r="J96" s="57">
        <f>ROUND(3.6*I96*E95/1000,5)</f>
        <v>0.20152</v>
      </c>
      <c r="K96" s="287">
        <f>SUM(I95:I96)</f>
        <v>3.6209999999999999E-2</v>
      </c>
      <c r="L96" s="287">
        <f>SUM(J95:J96)</f>
        <v>0.28548000000000001</v>
      </c>
      <c r="M96" s="287"/>
    </row>
    <row r="97" spans="1:14" ht="21.75" customHeight="1" x14ac:dyDescent="0.25">
      <c r="A97" s="1385">
        <v>29</v>
      </c>
      <c r="B97" s="1387" t="s">
        <v>642</v>
      </c>
      <c r="C97" s="1387" t="s">
        <v>643</v>
      </c>
      <c r="D97" s="1389" t="s">
        <v>619</v>
      </c>
      <c r="E97" s="1391">
        <v>2190</v>
      </c>
      <c r="F97" s="1391" t="s">
        <v>165</v>
      </c>
      <c r="G97" s="57" t="s">
        <v>570</v>
      </c>
      <c r="H97" s="475" t="s">
        <v>571</v>
      </c>
      <c r="I97" s="57">
        <v>2E-3</v>
      </c>
      <c r="J97" s="57">
        <f>ROUND(3.6*I97*E97/1000,5)</f>
        <v>1.5769999999999999E-2</v>
      </c>
      <c r="K97" s="287"/>
      <c r="L97" s="287"/>
      <c r="M97" s="287"/>
      <c r="N97" s="62"/>
    </row>
    <row r="98" spans="1:14" ht="20.25" customHeight="1" x14ac:dyDescent="0.25">
      <c r="A98" s="1386"/>
      <c r="B98" s="1388"/>
      <c r="C98" s="1388"/>
      <c r="D98" s="1390"/>
      <c r="E98" s="1390"/>
      <c r="F98" s="1390"/>
      <c r="G98" s="57" t="s">
        <v>250</v>
      </c>
      <c r="H98" s="56" t="s">
        <v>251</v>
      </c>
      <c r="I98" s="57">
        <v>4.0000000000000002E-4</v>
      </c>
      <c r="J98" s="57">
        <f>ROUND(3.6*I98*E97/1000,5)</f>
        <v>3.15E-3</v>
      </c>
      <c r="K98" s="287"/>
      <c r="L98" s="287"/>
      <c r="M98" s="287"/>
    </row>
    <row r="99" spans="1:14" ht="21" customHeight="1" x14ac:dyDescent="0.25">
      <c r="A99" s="1386"/>
      <c r="B99" s="1388"/>
      <c r="C99" s="1388"/>
      <c r="D99" s="1390"/>
      <c r="E99" s="1390"/>
      <c r="F99" s="1390"/>
      <c r="G99" s="57" t="s">
        <v>597</v>
      </c>
      <c r="H99" s="56" t="s">
        <v>598</v>
      </c>
      <c r="I99" s="57">
        <v>0.02</v>
      </c>
      <c r="J99" s="57">
        <f>ROUND(3.6*I99*E97/1000,5)</f>
        <v>0.15767999999999999</v>
      </c>
      <c r="K99" s="287">
        <f>SUM(I97:I99)</f>
        <v>2.24E-2</v>
      </c>
      <c r="L99" s="287">
        <f>SUM(J97:J99)</f>
        <v>0.17659999999999998</v>
      </c>
      <c r="M99" s="287"/>
    </row>
    <row r="100" spans="1:14" ht="19.5" customHeight="1" x14ac:dyDescent="0.25">
      <c r="A100" s="1385">
        <v>30</v>
      </c>
      <c r="B100" s="1387" t="s">
        <v>642</v>
      </c>
      <c r="C100" s="1387" t="s">
        <v>647</v>
      </c>
      <c r="D100" s="1389" t="s">
        <v>621</v>
      </c>
      <c r="E100" s="1391">
        <v>2190</v>
      </c>
      <c r="F100" s="1391" t="s">
        <v>165</v>
      </c>
      <c r="G100" s="57" t="s">
        <v>250</v>
      </c>
      <c r="H100" s="56" t="s">
        <v>251</v>
      </c>
      <c r="I100" s="57">
        <v>0.01</v>
      </c>
      <c r="J100" s="57">
        <f>ROUND(3.6*I100*E100/1000,5)</f>
        <v>7.8839999999999993E-2</v>
      </c>
      <c r="K100" s="287"/>
      <c r="L100" s="287"/>
      <c r="M100" s="287"/>
      <c r="N100" s="62"/>
    </row>
    <row r="101" spans="1:14" ht="20.25" customHeight="1" x14ac:dyDescent="0.25">
      <c r="A101" s="1386"/>
      <c r="B101" s="1388"/>
      <c r="C101" s="1388"/>
      <c r="D101" s="1390"/>
      <c r="E101" s="1390"/>
      <c r="F101" s="1390"/>
      <c r="G101" s="57" t="s">
        <v>597</v>
      </c>
      <c r="H101" s="56" t="s">
        <v>598</v>
      </c>
      <c r="I101" s="57">
        <v>0.01</v>
      </c>
      <c r="J101" s="57">
        <f>ROUND(3.6*I101*E100/1000,5)</f>
        <v>7.8839999999999993E-2</v>
      </c>
      <c r="K101" s="287">
        <f>SUM(I100:I101)</f>
        <v>0.02</v>
      </c>
      <c r="L101" s="287">
        <f>SUM(J100:J101)</f>
        <v>0.15767999999999999</v>
      </c>
      <c r="M101" s="287"/>
    </row>
    <row r="102" spans="1:14" ht="24" customHeight="1" x14ac:dyDescent="0.25">
      <c r="A102" s="1385">
        <v>31</v>
      </c>
      <c r="B102" s="1387" t="s">
        <v>649</v>
      </c>
      <c r="C102" s="1387" t="s">
        <v>650</v>
      </c>
      <c r="D102" s="1389" t="s">
        <v>623</v>
      </c>
      <c r="E102" s="1391">
        <v>2190</v>
      </c>
      <c r="F102" s="1395" t="s">
        <v>1485</v>
      </c>
      <c r="G102" s="57" t="s">
        <v>420</v>
      </c>
      <c r="H102" s="475" t="s">
        <v>66</v>
      </c>
      <c r="I102" s="57">
        <v>3.0000000000000001E-5</v>
      </c>
      <c r="J102" s="57">
        <f>ROUND(3.6*I102*E102/1000,5)</f>
        <v>2.4000000000000001E-4</v>
      </c>
      <c r="K102" s="287"/>
      <c r="L102" s="287"/>
      <c r="M102" s="287"/>
      <c r="N102" s="62"/>
    </row>
    <row r="103" spans="1:14" ht="69" customHeight="1" x14ac:dyDescent="0.25">
      <c r="A103" s="1386"/>
      <c r="B103" s="1388"/>
      <c r="C103" s="1388"/>
      <c r="D103" s="1390"/>
      <c r="E103" s="1390"/>
      <c r="F103" s="1396"/>
      <c r="G103" s="57" t="s">
        <v>739</v>
      </c>
      <c r="H103" s="475" t="s">
        <v>140</v>
      </c>
      <c r="I103" s="57">
        <v>5.0000000000000002E-5</v>
      </c>
      <c r="J103" s="57">
        <f>ROUND(3.6*I103*E102/1000,5)</f>
        <v>3.8999999999999999E-4</v>
      </c>
      <c r="K103" s="287">
        <f>SUM(I102:I103)</f>
        <v>8.0000000000000007E-5</v>
      </c>
      <c r="L103" s="287">
        <f>SUM(J102:J103)</f>
        <v>6.3000000000000003E-4</v>
      </c>
      <c r="M103" s="287"/>
    </row>
    <row r="104" spans="1:14" ht="48" customHeight="1" x14ac:dyDescent="0.25">
      <c r="A104" s="25">
        <v>32</v>
      </c>
      <c r="B104" s="57" t="s">
        <v>652</v>
      </c>
      <c r="C104" s="57" t="s">
        <v>653</v>
      </c>
      <c r="D104" s="478" t="s">
        <v>625</v>
      </c>
      <c r="E104" s="477">
        <v>2190</v>
      </c>
      <c r="F104" s="477" t="s">
        <v>165</v>
      </c>
      <c r="G104" s="57" t="s">
        <v>423</v>
      </c>
      <c r="H104" s="475" t="s">
        <v>424</v>
      </c>
      <c r="I104" s="57">
        <v>7.5000000000000002E-4</v>
      </c>
      <c r="J104" s="57">
        <f>ROUND(3.6*I104*E104/1000,5)</f>
        <v>5.9100000000000003E-3</v>
      </c>
      <c r="K104" s="287">
        <f t="shared" ref="K104:K105" si="0">I104</f>
        <v>7.5000000000000002E-4</v>
      </c>
      <c r="L104" s="287">
        <f t="shared" ref="L104:L105" si="1">J104</f>
        <v>5.9100000000000003E-3</v>
      </c>
      <c r="M104" s="287"/>
      <c r="N104" s="62"/>
    </row>
    <row r="105" spans="1:14" ht="72" customHeight="1" x14ac:dyDescent="0.25">
      <c r="A105" s="25">
        <v>33</v>
      </c>
      <c r="B105" s="57" t="s">
        <v>655</v>
      </c>
      <c r="C105" s="57" t="s">
        <v>656</v>
      </c>
      <c r="D105" s="478" t="s">
        <v>627</v>
      </c>
      <c r="E105" s="477">
        <v>2190</v>
      </c>
      <c r="F105" s="920" t="s">
        <v>740</v>
      </c>
      <c r="G105" s="57" t="s">
        <v>414</v>
      </c>
      <c r="H105" s="475" t="s">
        <v>415</v>
      </c>
      <c r="I105" s="57">
        <v>5.0000000000000002E-5</v>
      </c>
      <c r="J105" s="57">
        <f>ROUND(3.6*I105*E105/1000,5)</f>
        <v>3.8999999999999999E-4</v>
      </c>
      <c r="K105" s="287">
        <f t="shared" si="0"/>
        <v>5.0000000000000002E-5</v>
      </c>
      <c r="L105" s="287">
        <f t="shared" si="1"/>
        <v>3.8999999999999999E-4</v>
      </c>
      <c r="M105" s="287"/>
      <c r="N105" s="62"/>
    </row>
    <row r="106" spans="1:14" x14ac:dyDescent="0.25">
      <c r="A106" s="1385">
        <v>34</v>
      </c>
      <c r="B106" s="1387" t="s">
        <v>655</v>
      </c>
      <c r="C106" s="1387" t="s">
        <v>658</v>
      </c>
      <c r="D106" s="1389" t="s">
        <v>630</v>
      </c>
      <c r="E106" s="1391">
        <v>2190</v>
      </c>
      <c r="F106" s="1391" t="s">
        <v>165</v>
      </c>
      <c r="G106" s="57" t="s">
        <v>570</v>
      </c>
      <c r="H106" s="475" t="s">
        <v>571</v>
      </c>
      <c r="I106" s="57">
        <v>2.0000000000000002E-5</v>
      </c>
      <c r="J106" s="57">
        <f>ROUND(3.6*I106*E106/1000,5)</f>
        <v>1.6000000000000001E-4</v>
      </c>
      <c r="K106" s="287"/>
      <c r="L106" s="287"/>
      <c r="M106" s="287"/>
      <c r="N106" s="62"/>
    </row>
    <row r="107" spans="1:14" ht="63.75" x14ac:dyDescent="0.25">
      <c r="A107" s="1386"/>
      <c r="B107" s="1388"/>
      <c r="C107" s="1388"/>
      <c r="D107" s="1390"/>
      <c r="E107" s="1390"/>
      <c r="F107" s="1390"/>
      <c r="G107" s="57" t="s">
        <v>414</v>
      </c>
      <c r="H107" s="475" t="s">
        <v>415</v>
      </c>
      <c r="I107" s="57">
        <v>2.3999999999999998E-3</v>
      </c>
      <c r="J107" s="57">
        <f>ROUND(3.6*I107*E106/1000,5)</f>
        <v>1.8919999999999999E-2</v>
      </c>
      <c r="K107" s="287">
        <f>SUM(I106:I107)</f>
        <v>2.4199999999999998E-3</v>
      </c>
      <c r="L107" s="287">
        <f>SUM(J106:J107)</f>
        <v>1.908E-2</v>
      </c>
      <c r="M107" s="287"/>
    </row>
    <row r="108" spans="1:14" x14ac:dyDescent="0.25">
      <c r="A108" s="1385">
        <v>35</v>
      </c>
      <c r="B108" s="1387" t="s">
        <v>655</v>
      </c>
      <c r="C108" s="1387" t="s">
        <v>660</v>
      </c>
      <c r="D108" s="1389" t="s">
        <v>632</v>
      </c>
      <c r="E108" s="1391">
        <v>2190</v>
      </c>
      <c r="F108" s="1391" t="s">
        <v>165</v>
      </c>
      <c r="G108" s="57" t="s">
        <v>570</v>
      </c>
      <c r="H108" s="475" t="s">
        <v>571</v>
      </c>
      <c r="I108" s="57">
        <v>1.5E-3</v>
      </c>
      <c r="J108" s="57">
        <f>ROUND(3.6*I108*E108/1000,5)</f>
        <v>1.183E-2</v>
      </c>
      <c r="K108" s="287"/>
      <c r="L108" s="287"/>
      <c r="M108" s="287"/>
      <c r="N108" s="62"/>
    </row>
    <row r="109" spans="1:14" ht="24.75" customHeight="1" x14ac:dyDescent="0.25">
      <c r="A109" s="1386"/>
      <c r="B109" s="1388"/>
      <c r="C109" s="1388"/>
      <c r="D109" s="1390"/>
      <c r="E109" s="1390"/>
      <c r="F109" s="1390"/>
      <c r="G109" s="57" t="s">
        <v>250</v>
      </c>
      <c r="H109" s="56" t="s">
        <v>251</v>
      </c>
      <c r="I109" s="57">
        <v>4.0000000000000002E-4</v>
      </c>
      <c r="J109" s="57">
        <f>ROUND(3.6*I109*E108/1000,5)</f>
        <v>3.15E-3</v>
      </c>
      <c r="K109" s="287">
        <f>SUM(I108:I109)</f>
        <v>1.9E-3</v>
      </c>
      <c r="L109" s="287">
        <f>SUM(J108:J109)</f>
        <v>1.498E-2</v>
      </c>
      <c r="M109" s="287"/>
    </row>
    <row r="110" spans="1:14" ht="47.25" customHeight="1" x14ac:dyDescent="0.25">
      <c r="A110" s="25">
        <v>36</v>
      </c>
      <c r="B110" s="57" t="s">
        <v>662</v>
      </c>
      <c r="C110" s="57" t="s">
        <v>663</v>
      </c>
      <c r="D110" s="478" t="s">
        <v>634</v>
      </c>
      <c r="E110" s="477">
        <v>2190</v>
      </c>
      <c r="F110" s="477" t="s">
        <v>165</v>
      </c>
      <c r="G110" s="57" t="s">
        <v>250</v>
      </c>
      <c r="H110" s="56" t="s">
        <v>251</v>
      </c>
      <c r="I110" s="57">
        <v>2.9399999999999999E-3</v>
      </c>
      <c r="J110" s="57">
        <f>ROUND(3.6*I110*E110/1000,5)</f>
        <v>2.3179999999999999E-2</v>
      </c>
      <c r="K110" s="287">
        <f t="shared" ref="K110:K113" si="2">I110</f>
        <v>2.9399999999999999E-3</v>
      </c>
      <c r="L110" s="287">
        <f t="shared" ref="L110:L113" si="3">J110</f>
        <v>2.3179999999999999E-2</v>
      </c>
      <c r="M110" s="287"/>
      <c r="N110" s="62"/>
    </row>
    <row r="111" spans="1:14" ht="45" customHeight="1" x14ac:dyDescent="0.25">
      <c r="A111" s="25">
        <v>37</v>
      </c>
      <c r="B111" s="57" t="s">
        <v>662</v>
      </c>
      <c r="C111" s="57" t="s">
        <v>665</v>
      </c>
      <c r="D111" s="478" t="s">
        <v>637</v>
      </c>
      <c r="E111" s="477">
        <v>2190</v>
      </c>
      <c r="F111" s="477" t="s">
        <v>165</v>
      </c>
      <c r="G111" s="57" t="s">
        <v>250</v>
      </c>
      <c r="H111" s="56" t="s">
        <v>251</v>
      </c>
      <c r="I111" s="57">
        <v>6.9999999999999999E-4</v>
      </c>
      <c r="J111" s="57">
        <f>ROUND(3.6*I111*E111/1000,5)</f>
        <v>5.5199999999999997E-3</v>
      </c>
      <c r="K111" s="287">
        <f t="shared" si="2"/>
        <v>6.9999999999999999E-4</v>
      </c>
      <c r="L111" s="287">
        <f t="shared" si="3"/>
        <v>5.5199999999999997E-3</v>
      </c>
      <c r="M111" s="287"/>
      <c r="N111" s="62"/>
    </row>
    <row r="112" spans="1:14" ht="60.75" customHeight="1" x14ac:dyDescent="0.25">
      <c r="A112" s="25">
        <v>38</v>
      </c>
      <c r="B112" s="57" t="s">
        <v>667</v>
      </c>
      <c r="C112" s="57" t="s">
        <v>751</v>
      </c>
      <c r="D112" s="478" t="s">
        <v>639</v>
      </c>
      <c r="E112" s="477">
        <v>2190</v>
      </c>
      <c r="F112" s="477" t="s">
        <v>1452</v>
      </c>
      <c r="G112" s="57" t="s">
        <v>442</v>
      </c>
      <c r="H112" s="56" t="s">
        <v>441</v>
      </c>
      <c r="I112" s="57">
        <v>3.8000000000000002E-4</v>
      </c>
      <c r="J112" s="57">
        <f>ROUND(3.6*I112*E112/1000,5)</f>
        <v>3.0000000000000001E-3</v>
      </c>
      <c r="K112" s="287">
        <f t="shared" si="2"/>
        <v>3.8000000000000002E-4</v>
      </c>
      <c r="L112" s="287">
        <f t="shared" si="3"/>
        <v>3.0000000000000001E-3</v>
      </c>
      <c r="M112" s="287"/>
      <c r="N112" s="62"/>
    </row>
    <row r="113" spans="1:14" ht="57.75" customHeight="1" x14ac:dyDescent="0.25">
      <c r="A113" s="25">
        <v>39</v>
      </c>
      <c r="B113" s="57" t="s">
        <v>667</v>
      </c>
      <c r="C113" s="57" t="s">
        <v>752</v>
      </c>
      <c r="D113" s="478" t="s">
        <v>641</v>
      </c>
      <c r="E113" s="477">
        <v>2190</v>
      </c>
      <c r="F113" s="477" t="s">
        <v>1452</v>
      </c>
      <c r="G113" s="57" t="s">
        <v>579</v>
      </c>
      <c r="H113" s="56" t="s">
        <v>580</v>
      </c>
      <c r="I113" s="57">
        <v>3.8000000000000002E-4</v>
      </c>
      <c r="J113" s="57">
        <f>ROUND(3.6*I113*E113/1000,5)</f>
        <v>3.0000000000000001E-3</v>
      </c>
      <c r="K113" s="287">
        <f t="shared" si="2"/>
        <v>3.8000000000000002E-4</v>
      </c>
      <c r="L113" s="287">
        <f t="shared" si="3"/>
        <v>3.0000000000000001E-3</v>
      </c>
      <c r="M113" s="284"/>
      <c r="N113" s="62"/>
    </row>
    <row r="114" spans="1:14" ht="23.25" customHeight="1" x14ac:dyDescent="0.25">
      <c r="A114" s="1385">
        <v>40</v>
      </c>
      <c r="B114" s="1387" t="s">
        <v>667</v>
      </c>
      <c r="C114" s="1387" t="s">
        <v>669</v>
      </c>
      <c r="D114" s="1389" t="s">
        <v>644</v>
      </c>
      <c r="E114" s="1391">
        <v>2190</v>
      </c>
      <c r="F114" s="1391" t="s">
        <v>165</v>
      </c>
      <c r="G114" s="57" t="s">
        <v>442</v>
      </c>
      <c r="H114" s="56" t="s">
        <v>441</v>
      </c>
      <c r="I114" s="57">
        <v>7.4999999999999997E-3</v>
      </c>
      <c r="J114" s="57">
        <f>ROUND(3.6*I114*E114/1000,5)</f>
        <v>5.9130000000000002E-2</v>
      </c>
      <c r="K114" s="287"/>
      <c r="L114" s="287"/>
      <c r="M114" s="284"/>
      <c r="N114" s="51"/>
    </row>
    <row r="115" spans="1:14" ht="48" customHeight="1" x14ac:dyDescent="0.25">
      <c r="A115" s="1386"/>
      <c r="B115" s="1388"/>
      <c r="C115" s="1388"/>
      <c r="D115" s="1390"/>
      <c r="E115" s="1390"/>
      <c r="F115" s="1390"/>
      <c r="G115" s="57" t="s">
        <v>579</v>
      </c>
      <c r="H115" s="56" t="s">
        <v>580</v>
      </c>
      <c r="I115" s="57">
        <v>1E-3</v>
      </c>
      <c r="J115" s="57">
        <f>ROUND(3.6*I115*E114/1000,5)</f>
        <v>7.8799999999999999E-3</v>
      </c>
      <c r="K115" s="287">
        <f>SUM(I114:I115)</f>
        <v>8.5000000000000006E-3</v>
      </c>
      <c r="L115" s="287">
        <f>SUM(J114:J115)</f>
        <v>6.701E-2</v>
      </c>
      <c r="M115" s="284"/>
    </row>
    <row r="116" spans="1:14" ht="21" customHeight="1" x14ac:dyDescent="0.25">
      <c r="A116" s="1385">
        <v>41</v>
      </c>
      <c r="B116" s="1387" t="s">
        <v>667</v>
      </c>
      <c r="C116" s="1387" t="s">
        <v>671</v>
      </c>
      <c r="D116" s="1389" t="s">
        <v>648</v>
      </c>
      <c r="E116" s="1391">
        <v>2190</v>
      </c>
      <c r="F116" s="1391" t="s">
        <v>165</v>
      </c>
      <c r="G116" s="57" t="s">
        <v>570</v>
      </c>
      <c r="H116" s="475" t="s">
        <v>571</v>
      </c>
      <c r="I116" s="57">
        <v>7.2999999999999996E-4</v>
      </c>
      <c r="J116" s="57">
        <f>ROUND(3.6*I116*E116/1000,5)</f>
        <v>5.7600000000000004E-3</v>
      </c>
      <c r="K116" s="287"/>
      <c r="L116" s="287"/>
      <c r="M116" s="284"/>
      <c r="N116" s="51"/>
    </row>
    <row r="117" spans="1:14" ht="30.75" customHeight="1" x14ac:dyDescent="0.25">
      <c r="A117" s="1386"/>
      <c r="B117" s="1388"/>
      <c r="C117" s="1388"/>
      <c r="D117" s="1390"/>
      <c r="E117" s="1390"/>
      <c r="F117" s="1390"/>
      <c r="G117" s="57" t="s">
        <v>573</v>
      </c>
      <c r="H117" s="56" t="s">
        <v>572</v>
      </c>
      <c r="I117" s="57">
        <v>6.0000000000000002E-5</v>
      </c>
      <c r="J117" s="57">
        <f>ROUND(3.6*I117*E116/1000,5)</f>
        <v>4.6999999999999999E-4</v>
      </c>
      <c r="K117" s="287">
        <f>SUM(I116:I117)</f>
        <v>7.9000000000000001E-4</v>
      </c>
      <c r="L117" s="287">
        <f>SUM(J116:J117)</f>
        <v>6.2300000000000003E-3</v>
      </c>
      <c r="M117" s="284"/>
    </row>
    <row r="118" spans="1:14" ht="45.75" customHeight="1" x14ac:dyDescent="0.25">
      <c r="A118" s="1385">
        <v>42</v>
      </c>
      <c r="B118" s="1387" t="s">
        <v>672</v>
      </c>
      <c r="C118" s="1387" t="s">
        <v>753</v>
      </c>
      <c r="D118" s="1389" t="s">
        <v>651</v>
      </c>
      <c r="E118" s="1391">
        <v>2190</v>
      </c>
      <c r="F118" s="1391" t="s">
        <v>476</v>
      </c>
      <c r="G118" s="57" t="s">
        <v>250</v>
      </c>
      <c r="H118" s="56" t="s">
        <v>251</v>
      </c>
      <c r="I118" s="57">
        <v>7.6999999999999996E-4</v>
      </c>
      <c r="J118" s="57">
        <f>ROUND(3.6*I118*E118/1000,5)</f>
        <v>6.0699999999999999E-3</v>
      </c>
      <c r="K118" s="287"/>
      <c r="L118" s="287"/>
      <c r="M118" s="284"/>
      <c r="N118" s="51"/>
    </row>
    <row r="119" spans="1:14" ht="45.75" customHeight="1" x14ac:dyDescent="0.25">
      <c r="A119" s="1385"/>
      <c r="B119" s="1387"/>
      <c r="C119" s="1387"/>
      <c r="D119" s="1389"/>
      <c r="E119" s="1391"/>
      <c r="F119" s="1391"/>
      <c r="G119" s="57" t="s">
        <v>570</v>
      </c>
      <c r="H119" s="475" t="s">
        <v>571</v>
      </c>
      <c r="I119" s="57">
        <v>9.1E-4</v>
      </c>
      <c r="J119" s="57">
        <f>ROUND(3.6*I119*E118/1000,5)</f>
        <v>7.1700000000000002E-3</v>
      </c>
      <c r="K119" s="287"/>
      <c r="L119" s="287"/>
      <c r="M119" s="284"/>
    </row>
    <row r="120" spans="1:14" ht="45.75" customHeight="1" x14ac:dyDescent="0.25">
      <c r="A120" s="1386"/>
      <c r="B120" s="1388"/>
      <c r="C120" s="1388"/>
      <c r="D120" s="1390"/>
      <c r="E120" s="1390"/>
      <c r="F120" s="1390"/>
      <c r="G120" s="57" t="s">
        <v>602</v>
      </c>
      <c r="H120" s="475" t="s">
        <v>603</v>
      </c>
      <c r="I120" s="57">
        <v>1.0000000000000001E-5</v>
      </c>
      <c r="J120" s="57">
        <f>ROUND(3.6*I120*E118/1000,5)</f>
        <v>8.0000000000000007E-5</v>
      </c>
      <c r="K120" s="287">
        <f>SUM(I118:I120)</f>
        <v>1.6900000000000001E-3</v>
      </c>
      <c r="L120" s="287">
        <f>SUM(J118:J120)</f>
        <v>1.332E-2</v>
      </c>
      <c r="M120" s="284"/>
    </row>
    <row r="121" spans="1:14" ht="63.75" x14ac:dyDescent="0.25">
      <c r="A121" s="25">
        <v>43</v>
      </c>
      <c r="B121" s="57" t="s">
        <v>674</v>
      </c>
      <c r="C121" s="57" t="s">
        <v>675</v>
      </c>
      <c r="D121" s="478" t="s">
        <v>654</v>
      </c>
      <c r="E121" s="477">
        <v>2190</v>
      </c>
      <c r="F121" s="477" t="s">
        <v>476</v>
      </c>
      <c r="G121" s="57" t="s">
        <v>689</v>
      </c>
      <c r="H121" s="475" t="s">
        <v>690</v>
      </c>
      <c r="I121" s="57">
        <v>5.8E-4</v>
      </c>
      <c r="J121" s="57">
        <f>ROUND(3.6*I121*E121/1000,5)</f>
        <v>4.5700000000000003E-3</v>
      </c>
      <c r="K121" s="287">
        <f t="shared" ref="K121:K123" si="4">I121</f>
        <v>5.8E-4</v>
      </c>
      <c r="L121" s="287">
        <f t="shared" ref="L121:L123" si="5">J121</f>
        <v>4.5700000000000003E-3</v>
      </c>
      <c r="M121" s="284"/>
      <c r="N121" s="51"/>
    </row>
    <row r="122" spans="1:14" ht="63.75" x14ac:dyDescent="0.25">
      <c r="A122" s="25">
        <v>44</v>
      </c>
      <c r="B122" s="57" t="s">
        <v>674</v>
      </c>
      <c r="C122" s="57" t="s">
        <v>677</v>
      </c>
      <c r="D122" s="478" t="s">
        <v>657</v>
      </c>
      <c r="E122" s="477">
        <v>2190</v>
      </c>
      <c r="F122" s="477" t="s">
        <v>476</v>
      </c>
      <c r="G122" s="57" t="s">
        <v>590</v>
      </c>
      <c r="H122" s="475" t="s">
        <v>591</v>
      </c>
      <c r="I122" s="57">
        <v>5.8E-4</v>
      </c>
      <c r="J122" s="57">
        <f>ROUND(3.6*I122*E122/1000,5)</f>
        <v>4.5700000000000003E-3</v>
      </c>
      <c r="K122" s="287">
        <f t="shared" si="4"/>
        <v>5.8E-4</v>
      </c>
      <c r="L122" s="287">
        <f t="shared" si="5"/>
        <v>4.5700000000000003E-3</v>
      </c>
      <c r="M122" s="284"/>
      <c r="N122" s="51"/>
    </row>
    <row r="123" spans="1:14" ht="38.25" x14ac:dyDescent="0.25">
      <c r="A123" s="25">
        <v>45</v>
      </c>
      <c r="B123" s="57" t="s">
        <v>681</v>
      </c>
      <c r="C123" s="57" t="s">
        <v>678</v>
      </c>
      <c r="D123" s="478" t="s">
        <v>659</v>
      </c>
      <c r="E123" s="477">
        <v>2190</v>
      </c>
      <c r="F123" s="477" t="s">
        <v>165</v>
      </c>
      <c r="G123" s="57" t="s">
        <v>422</v>
      </c>
      <c r="H123" s="475" t="s">
        <v>52</v>
      </c>
      <c r="I123" s="57">
        <v>1.056E-2</v>
      </c>
      <c r="J123" s="57">
        <f>ROUND(3.6*I123*E123/1000,5)</f>
        <v>8.3260000000000001E-2</v>
      </c>
      <c r="K123" s="287">
        <f t="shared" si="4"/>
        <v>1.056E-2</v>
      </c>
      <c r="L123" s="287">
        <f t="shared" si="5"/>
        <v>8.3260000000000001E-2</v>
      </c>
      <c r="M123" s="284"/>
      <c r="N123" s="51"/>
    </row>
    <row r="124" spans="1:14" ht="27" customHeight="1" x14ac:dyDescent="0.25">
      <c r="A124" s="1385">
        <v>46</v>
      </c>
      <c r="B124" s="1387" t="s">
        <v>681</v>
      </c>
      <c r="C124" s="1387" t="s">
        <v>680</v>
      </c>
      <c r="D124" s="1389" t="s">
        <v>661</v>
      </c>
      <c r="E124" s="1391">
        <v>2190</v>
      </c>
      <c r="F124" s="1391" t="s">
        <v>165</v>
      </c>
      <c r="G124" s="57" t="s">
        <v>420</v>
      </c>
      <c r="H124" s="475" t="s">
        <v>66</v>
      </c>
      <c r="I124" s="57">
        <v>0.01</v>
      </c>
      <c r="J124" s="57">
        <f>ROUND(3.6*I124*E124/1000,5)</f>
        <v>7.8839999999999993E-2</v>
      </c>
      <c r="K124" s="287"/>
      <c r="L124" s="287"/>
      <c r="M124" s="284"/>
      <c r="N124" s="51"/>
    </row>
    <row r="125" spans="1:14" ht="27" customHeight="1" x14ac:dyDescent="0.25">
      <c r="A125" s="1386"/>
      <c r="B125" s="1388"/>
      <c r="C125" s="1388"/>
      <c r="D125" s="1390"/>
      <c r="E125" s="1390"/>
      <c r="F125" s="1390"/>
      <c r="G125" s="57" t="s">
        <v>423</v>
      </c>
      <c r="H125" s="475" t="s">
        <v>424</v>
      </c>
      <c r="I125" s="57">
        <v>1.06E-3</v>
      </c>
      <c r="J125" s="57">
        <f>ROUND(3.6*I125*E124/1000,5)</f>
        <v>8.3599999999999994E-3</v>
      </c>
      <c r="K125" s="287">
        <f>SUM(I124:I125)</f>
        <v>1.106E-2</v>
      </c>
      <c r="L125" s="287">
        <f>SUM(J124:J125)</f>
        <v>8.72E-2</v>
      </c>
      <c r="M125" s="284"/>
    </row>
    <row r="126" spans="1:14" ht="38.25" x14ac:dyDescent="0.25">
      <c r="A126" s="25">
        <v>47</v>
      </c>
      <c r="B126" s="57" t="s">
        <v>681</v>
      </c>
      <c r="C126" s="57" t="s">
        <v>682</v>
      </c>
      <c r="D126" s="478" t="s">
        <v>664</v>
      </c>
      <c r="E126" s="477">
        <v>2190</v>
      </c>
      <c r="F126" s="477" t="s">
        <v>165</v>
      </c>
      <c r="G126" s="57" t="s">
        <v>416</v>
      </c>
      <c r="H126" s="475" t="s">
        <v>57</v>
      </c>
      <c r="I126" s="57">
        <v>0.01</v>
      </c>
      <c r="J126" s="57">
        <f>ROUND(3.6*I126*E126/1000,5)</f>
        <v>7.8839999999999993E-2</v>
      </c>
      <c r="K126" s="287">
        <f t="shared" ref="K126:K128" si="6">I126</f>
        <v>0.01</v>
      </c>
      <c r="L126" s="287">
        <f t="shared" ref="L126:L128" si="7">J126</f>
        <v>7.8839999999999993E-2</v>
      </c>
      <c r="M126" s="284"/>
      <c r="N126" s="51"/>
    </row>
    <row r="127" spans="1:14" ht="51" x14ac:dyDescent="0.25">
      <c r="A127" s="25">
        <v>48</v>
      </c>
      <c r="B127" s="57" t="s">
        <v>684</v>
      </c>
      <c r="C127" s="57" t="s">
        <v>678</v>
      </c>
      <c r="D127" s="478" t="s">
        <v>666</v>
      </c>
      <c r="E127" s="477">
        <v>2190</v>
      </c>
      <c r="F127" s="477" t="s">
        <v>165</v>
      </c>
      <c r="G127" s="57" t="s">
        <v>423</v>
      </c>
      <c r="H127" s="475" t="s">
        <v>424</v>
      </c>
      <c r="I127" s="57">
        <v>2.1099999999999999E-3</v>
      </c>
      <c r="J127" s="57">
        <f>ROUND(3.6*I127*E127/1000,5)</f>
        <v>1.6639999999999999E-2</v>
      </c>
      <c r="K127" s="287">
        <f t="shared" si="6"/>
        <v>2.1099999999999999E-3</v>
      </c>
      <c r="L127" s="287">
        <f t="shared" si="7"/>
        <v>1.6639999999999999E-2</v>
      </c>
      <c r="M127" s="284"/>
      <c r="N127" s="51"/>
    </row>
    <row r="128" spans="1:14" ht="76.5" x14ac:dyDescent="0.25">
      <c r="A128" s="25">
        <v>49</v>
      </c>
      <c r="B128" s="57" t="s">
        <v>754</v>
      </c>
      <c r="C128" s="57" t="s">
        <v>755</v>
      </c>
      <c r="D128" s="478" t="s">
        <v>668</v>
      </c>
      <c r="E128" s="477">
        <v>2190</v>
      </c>
      <c r="F128" s="477" t="s">
        <v>165</v>
      </c>
      <c r="G128" s="57" t="s">
        <v>739</v>
      </c>
      <c r="H128" s="475" t="s">
        <v>140</v>
      </c>
      <c r="I128" s="57">
        <v>4.7499999999999999E-3</v>
      </c>
      <c r="J128" s="57">
        <f>ROUND(3.6*I128*E128/1000,5)</f>
        <v>3.7449999999999997E-2</v>
      </c>
      <c r="K128" s="287">
        <f t="shared" si="6"/>
        <v>4.7499999999999999E-3</v>
      </c>
      <c r="L128" s="287">
        <f t="shared" si="7"/>
        <v>3.7449999999999997E-2</v>
      </c>
      <c r="M128" s="284"/>
      <c r="N128" s="51"/>
    </row>
    <row r="129" spans="1:14" x14ac:dyDescent="0.25">
      <c r="A129" s="1061">
        <v>50</v>
      </c>
      <c r="B129" s="1085" t="s">
        <v>595</v>
      </c>
      <c r="C129" s="1085" t="s">
        <v>744</v>
      </c>
      <c r="D129" s="1383" t="s">
        <v>1173</v>
      </c>
      <c r="E129" s="1292">
        <v>2190</v>
      </c>
      <c r="F129" s="1292" t="s">
        <v>165</v>
      </c>
      <c r="G129" s="57" t="s">
        <v>570</v>
      </c>
      <c r="H129" s="475" t="s">
        <v>571</v>
      </c>
      <c r="I129" s="57">
        <v>1.0000000000000001E-5</v>
      </c>
      <c r="J129" s="57">
        <f>ROUND(3.6*I129*E129/1000,5)</f>
        <v>8.0000000000000007E-5</v>
      </c>
      <c r="K129" s="287"/>
      <c r="L129" s="287"/>
      <c r="M129" s="284"/>
      <c r="N129" s="51"/>
    </row>
    <row r="130" spans="1:14" x14ac:dyDescent="0.25">
      <c r="A130" s="1063"/>
      <c r="B130" s="1339"/>
      <c r="C130" s="1339"/>
      <c r="D130" s="1392"/>
      <c r="E130" s="1394"/>
      <c r="F130" s="1394"/>
      <c r="G130" s="57" t="s">
        <v>250</v>
      </c>
      <c r="H130" s="56" t="s">
        <v>251</v>
      </c>
      <c r="I130" s="57">
        <v>4.0000000000000003E-5</v>
      </c>
      <c r="J130" s="57">
        <f>ROUND(3.6*I130*E129/1000,5)</f>
        <v>3.2000000000000003E-4</v>
      </c>
      <c r="K130" s="287"/>
      <c r="L130" s="287"/>
      <c r="M130" s="284"/>
      <c r="N130" s="51"/>
    </row>
    <row r="131" spans="1:14" x14ac:dyDescent="0.25">
      <c r="A131" s="1062"/>
      <c r="B131" s="1340"/>
      <c r="C131" s="1340"/>
      <c r="D131" s="1393"/>
      <c r="E131" s="1384"/>
      <c r="F131" s="1384"/>
      <c r="G131" s="57" t="s">
        <v>597</v>
      </c>
      <c r="H131" s="56" t="s">
        <v>598</v>
      </c>
      <c r="I131" s="57">
        <v>1.1E-4</v>
      </c>
      <c r="J131" s="57">
        <f>ROUND(3.6*I131*E129/1000,5)</f>
        <v>8.7000000000000001E-4</v>
      </c>
      <c r="K131" s="287">
        <f>SUM(I129:I131)</f>
        <v>1.6000000000000001E-4</v>
      </c>
      <c r="L131" s="287">
        <f>SUM(J129:J131)</f>
        <v>1.2700000000000001E-3</v>
      </c>
      <c r="M131" s="287"/>
      <c r="N131" s="51"/>
    </row>
    <row r="132" spans="1:14" x14ac:dyDescent="0.25">
      <c r="A132" s="1061">
        <v>51</v>
      </c>
      <c r="B132" s="1085" t="s">
        <v>635</v>
      </c>
      <c r="C132" s="1085" t="s">
        <v>688</v>
      </c>
      <c r="D132" s="1383" t="s">
        <v>670</v>
      </c>
      <c r="E132" s="1292">
        <v>2190</v>
      </c>
      <c r="F132" s="1292" t="s">
        <v>165</v>
      </c>
      <c r="G132" s="57" t="s">
        <v>420</v>
      </c>
      <c r="H132" s="475" t="s">
        <v>66</v>
      </c>
      <c r="I132" s="57">
        <v>2.0250000000000001E-2</v>
      </c>
      <c r="J132" s="57">
        <f>ROUND(3.6*I132*E132/1000,4)</f>
        <v>0.15970000000000001</v>
      </c>
      <c r="K132" s="368"/>
      <c r="L132" s="368"/>
      <c r="M132" s="367"/>
      <c r="N132" s="51"/>
    </row>
    <row r="133" spans="1:14" ht="24.75" customHeight="1" x14ac:dyDescent="0.25">
      <c r="A133" s="1062"/>
      <c r="B133" s="1340"/>
      <c r="C133" s="1340"/>
      <c r="D133" s="1384"/>
      <c r="E133" s="1384"/>
      <c r="F133" s="1384"/>
      <c r="G133" s="57" t="s">
        <v>213</v>
      </c>
      <c r="H133" s="475" t="s">
        <v>62</v>
      </c>
      <c r="I133" s="57">
        <v>6.4999999999999997E-3</v>
      </c>
      <c r="J133" s="57">
        <f>ROUND(3.6*I133*E132/1000,5)</f>
        <v>5.1249999999999997E-2</v>
      </c>
      <c r="K133" s="287">
        <f>SUM(I132:I133)</f>
        <v>2.6749999999999999E-2</v>
      </c>
      <c r="L133" s="368">
        <f>SUM(J132:J133)</f>
        <v>0.21095</v>
      </c>
      <c r="M133" s="284"/>
    </row>
    <row r="134" spans="1:14" ht="57.75" x14ac:dyDescent="0.25">
      <c r="A134" s="25">
        <v>52</v>
      </c>
      <c r="B134" s="57" t="s">
        <v>667</v>
      </c>
      <c r="C134" s="57" t="s">
        <v>756</v>
      </c>
      <c r="D134" s="478" t="s">
        <v>274</v>
      </c>
      <c r="E134" s="477">
        <v>2190</v>
      </c>
      <c r="F134" s="920" t="s">
        <v>757</v>
      </c>
      <c r="G134" s="57" t="s">
        <v>442</v>
      </c>
      <c r="H134" s="56" t="s">
        <v>441</v>
      </c>
      <c r="I134" s="57">
        <v>7.7999999999999999E-4</v>
      </c>
      <c r="J134" s="57">
        <f>ROUND(3.6*I134*E134/1000,5)</f>
        <v>6.1500000000000001E-3</v>
      </c>
      <c r="K134" s="287">
        <f t="shared" ref="K134:K135" si="8">I134</f>
        <v>7.7999999999999999E-4</v>
      </c>
      <c r="L134" s="287">
        <f t="shared" ref="L134:L135" si="9">J134</f>
        <v>6.1500000000000001E-3</v>
      </c>
      <c r="M134" s="284"/>
      <c r="N134" s="51"/>
    </row>
    <row r="135" spans="1:14" ht="57.75" x14ac:dyDescent="0.25">
      <c r="A135" s="25">
        <v>53</v>
      </c>
      <c r="B135" s="57" t="s">
        <v>667</v>
      </c>
      <c r="C135" s="57" t="s">
        <v>758</v>
      </c>
      <c r="D135" s="478" t="s">
        <v>673</v>
      </c>
      <c r="E135" s="477">
        <v>2190</v>
      </c>
      <c r="F135" s="920" t="s">
        <v>757</v>
      </c>
      <c r="G135" s="57" t="s">
        <v>579</v>
      </c>
      <c r="H135" s="56" t="s">
        <v>580</v>
      </c>
      <c r="I135" s="57">
        <v>2.0000000000000001E-4</v>
      </c>
      <c r="J135" s="57">
        <f>ROUND(3.6*I135*E135/1000,5)</f>
        <v>1.58E-3</v>
      </c>
      <c r="K135" s="287">
        <f t="shared" si="8"/>
        <v>2.0000000000000001E-4</v>
      </c>
      <c r="L135" s="287">
        <f t="shared" si="9"/>
        <v>1.58E-3</v>
      </c>
      <c r="M135" s="284"/>
      <c r="N135" s="51"/>
    </row>
    <row r="136" spans="1:14" ht="18.75" x14ac:dyDescent="0.3">
      <c r="A136" s="61"/>
      <c r="K136" s="922">
        <f>SUM(K21:K135)</f>
        <v>0.24318201</v>
      </c>
      <c r="L136" s="922">
        <f>SUM(L20:L135)</f>
        <v>1.8808009999999995</v>
      </c>
    </row>
    <row r="137" spans="1:14" x14ac:dyDescent="0.25">
      <c r="A137" s="1410" t="s">
        <v>147</v>
      </c>
      <c r="B137" s="1371"/>
      <c r="C137" s="1371"/>
      <c r="D137" s="1371"/>
      <c r="E137" s="1371"/>
      <c r="F137" s="1371"/>
      <c r="G137" s="1371"/>
      <c r="H137" s="1371"/>
      <c r="I137" s="1371"/>
      <c r="J137" s="1372"/>
      <c r="K137" s="366"/>
      <c r="L137" s="366"/>
      <c r="M137" s="366"/>
    </row>
    <row r="138" spans="1:14" x14ac:dyDescent="0.25">
      <c r="A138" s="1407" t="s">
        <v>566</v>
      </c>
      <c r="B138" s="1408"/>
      <c r="C138" s="1408"/>
      <c r="D138" s="1408"/>
      <c r="E138" s="1408"/>
      <c r="F138" s="1408"/>
      <c r="G138" s="1408"/>
      <c r="H138" s="1408"/>
      <c r="I138" s="1408"/>
      <c r="J138" s="1409"/>
      <c r="K138" s="377"/>
      <c r="L138" s="377"/>
      <c r="M138" s="377"/>
    </row>
    <row r="139" spans="1:14" ht="42" customHeight="1" x14ac:dyDescent="0.25">
      <c r="A139" s="1061">
        <v>1</v>
      </c>
      <c r="B139" s="1085" t="s">
        <v>567</v>
      </c>
      <c r="C139" s="1085" t="s">
        <v>568</v>
      </c>
      <c r="D139" s="1383" t="s">
        <v>732</v>
      </c>
      <c r="E139" s="1292">
        <v>8760</v>
      </c>
      <c r="F139" s="1292" t="s">
        <v>165</v>
      </c>
      <c r="G139" s="57" t="s">
        <v>570</v>
      </c>
      <c r="H139" s="475" t="s">
        <v>571</v>
      </c>
      <c r="I139" s="57">
        <v>1E-3</v>
      </c>
      <c r="J139" s="57">
        <f>ROUND(3.6*I139*E139/1000,5)</f>
        <v>3.1539999999999999E-2</v>
      </c>
      <c r="K139" s="287"/>
      <c r="L139" s="287"/>
      <c r="M139" s="287"/>
    </row>
    <row r="140" spans="1:14" ht="42" customHeight="1" x14ac:dyDescent="0.25">
      <c r="A140" s="1063"/>
      <c r="B140" s="1339"/>
      <c r="C140" s="1339"/>
      <c r="D140" s="1394"/>
      <c r="E140" s="1394"/>
      <c r="F140" s="1394"/>
      <c r="G140" s="57" t="s">
        <v>250</v>
      </c>
      <c r="H140" s="56" t="s">
        <v>251</v>
      </c>
      <c r="I140" s="57">
        <v>1.39E-6</v>
      </c>
      <c r="J140" s="57">
        <f>ROUND(3.6*I140*E139/1000,6)</f>
        <v>4.3999999999999999E-5</v>
      </c>
      <c r="K140" s="287"/>
      <c r="L140" s="287"/>
      <c r="M140" s="287"/>
    </row>
    <row r="141" spans="1:14" ht="42" customHeight="1" x14ac:dyDescent="0.25">
      <c r="A141" s="1063"/>
      <c r="B141" s="1339"/>
      <c r="C141" s="1339"/>
      <c r="D141" s="1394"/>
      <c r="E141" s="1394"/>
      <c r="F141" s="1394"/>
      <c r="G141" s="57" t="s">
        <v>573</v>
      </c>
      <c r="H141" s="56" t="s">
        <v>572</v>
      </c>
      <c r="I141" s="57">
        <v>1.3999999999999999E-4</v>
      </c>
      <c r="J141" s="57">
        <f>ROUND(3.6*I141*E139/1000,5)</f>
        <v>4.4200000000000003E-3</v>
      </c>
      <c r="K141" s="287"/>
      <c r="L141" s="287"/>
      <c r="M141" s="284"/>
    </row>
    <row r="142" spans="1:14" ht="42" customHeight="1" x14ac:dyDescent="0.25">
      <c r="A142" s="1063"/>
      <c r="B142" s="1339"/>
      <c r="C142" s="1339"/>
      <c r="D142" s="1394"/>
      <c r="E142" s="1394"/>
      <c r="F142" s="1394"/>
      <c r="G142" s="57" t="s">
        <v>416</v>
      </c>
      <c r="H142" s="475" t="s">
        <v>57</v>
      </c>
      <c r="I142" s="57">
        <v>3.3000000000000002E-6</v>
      </c>
      <c r="J142" s="57">
        <f>ROUND(3.6*I142*E139/1000,5)</f>
        <v>1E-4</v>
      </c>
      <c r="K142" s="287"/>
      <c r="L142" s="287"/>
      <c r="M142" s="284"/>
    </row>
    <row r="143" spans="1:14" ht="32.25" customHeight="1" x14ac:dyDescent="0.25">
      <c r="A143" s="1062"/>
      <c r="B143" s="1340"/>
      <c r="C143" s="1340"/>
      <c r="D143" s="1384"/>
      <c r="E143" s="1384"/>
      <c r="F143" s="1384"/>
      <c r="G143" s="57" t="s">
        <v>213</v>
      </c>
      <c r="H143" s="475" t="s">
        <v>62</v>
      </c>
      <c r="I143" s="57">
        <v>1.7000000000000001E-4</v>
      </c>
      <c r="J143" s="57">
        <f>ROUND(3.6*I143*E139/1000,5)</f>
        <v>5.3600000000000002E-3</v>
      </c>
      <c r="K143" s="287">
        <f>SUM(I139:I143)</f>
        <v>1.3146899999999999E-3</v>
      </c>
      <c r="L143" s="287">
        <f>SUM(J139:J143)</f>
        <v>4.1464000000000001E-2</v>
      </c>
      <c r="M143" s="378"/>
    </row>
    <row r="144" spans="1:14" ht="21.75" customHeight="1" x14ac:dyDescent="0.25">
      <c r="A144" s="1061">
        <v>2</v>
      </c>
      <c r="B144" s="1085" t="s">
        <v>574</v>
      </c>
      <c r="C144" s="1085" t="s">
        <v>575</v>
      </c>
      <c r="D144" s="1383" t="s">
        <v>540</v>
      </c>
      <c r="E144" s="1292">
        <v>8760</v>
      </c>
      <c r="F144" s="1292" t="s">
        <v>165</v>
      </c>
      <c r="G144" s="57" t="s">
        <v>570</v>
      </c>
      <c r="H144" s="475" t="s">
        <v>571</v>
      </c>
      <c r="I144" s="57">
        <v>4.6E-6</v>
      </c>
      <c r="J144" s="57">
        <f>ROUND(3.6*I144*E144/1000,5)</f>
        <v>1.4999999999999999E-4</v>
      </c>
      <c r="K144" s="287"/>
      <c r="L144" s="287"/>
      <c r="M144" s="287"/>
    </row>
    <row r="145" spans="1:13" ht="23.25" customHeight="1" x14ac:dyDescent="0.25">
      <c r="A145" s="1062"/>
      <c r="B145" s="1340"/>
      <c r="C145" s="1340"/>
      <c r="D145" s="1384"/>
      <c r="E145" s="1384"/>
      <c r="F145" s="1384"/>
      <c r="G145" s="57" t="s">
        <v>416</v>
      </c>
      <c r="H145" s="475" t="s">
        <v>57</v>
      </c>
      <c r="I145" s="57">
        <v>4.6E-6</v>
      </c>
      <c r="J145" s="57">
        <f>ROUND(3.6*I145*E144/1000,5)</f>
        <v>1.4999999999999999E-4</v>
      </c>
      <c r="K145" s="287">
        <f>SUM(I144:I145)</f>
        <v>9.2E-6</v>
      </c>
      <c r="L145" s="287">
        <f>SUM(J144:J145)</f>
        <v>2.9999999999999997E-4</v>
      </c>
      <c r="M145" s="378"/>
    </row>
    <row r="146" spans="1:13" ht="63.75" customHeight="1" x14ac:dyDescent="0.25">
      <c r="A146" s="1061">
        <v>3</v>
      </c>
      <c r="B146" s="1085" t="s">
        <v>577</v>
      </c>
      <c r="C146" s="1085" t="s">
        <v>741</v>
      </c>
      <c r="D146" s="1383" t="s">
        <v>733</v>
      </c>
      <c r="E146" s="1292">
        <v>8760</v>
      </c>
      <c r="F146" s="1292" t="s">
        <v>165</v>
      </c>
      <c r="G146" s="57" t="s">
        <v>570</v>
      </c>
      <c r="H146" s="475" t="s">
        <v>571</v>
      </c>
      <c r="I146" s="57">
        <v>1.1E-4</v>
      </c>
      <c r="J146" s="57">
        <f>ROUND(3.6*I146*E146/1000,5)</f>
        <v>3.47E-3</v>
      </c>
      <c r="K146" s="287"/>
      <c r="L146" s="287"/>
      <c r="M146" s="287"/>
    </row>
    <row r="147" spans="1:13" ht="46.5" customHeight="1" x14ac:dyDescent="0.25">
      <c r="A147" s="1063"/>
      <c r="B147" s="1339"/>
      <c r="C147" s="1339"/>
      <c r="D147" s="1394"/>
      <c r="E147" s="1394"/>
      <c r="F147" s="1394"/>
      <c r="G147" s="57" t="s">
        <v>573</v>
      </c>
      <c r="H147" s="56" t="s">
        <v>572</v>
      </c>
      <c r="I147" s="57">
        <v>1.7700000000000001E-3</v>
      </c>
      <c r="J147" s="57">
        <f>ROUND(3.6*I147*E146/1000,5)</f>
        <v>5.5820000000000002E-2</v>
      </c>
      <c r="K147" s="287"/>
      <c r="L147" s="287"/>
      <c r="M147" s="284"/>
    </row>
    <row r="148" spans="1:13" ht="63.75" customHeight="1" x14ac:dyDescent="0.25">
      <c r="A148" s="1063"/>
      <c r="B148" s="1339"/>
      <c r="C148" s="1339"/>
      <c r="D148" s="1394"/>
      <c r="E148" s="1394"/>
      <c r="F148" s="1394"/>
      <c r="G148" s="57" t="s">
        <v>442</v>
      </c>
      <c r="H148" s="56" t="s">
        <v>441</v>
      </c>
      <c r="I148" s="57">
        <v>9.8899999999999995E-3</v>
      </c>
      <c r="J148" s="57">
        <f>ROUND(3.6*I148*E146/1000,5)</f>
        <v>0.31189</v>
      </c>
      <c r="K148" s="287"/>
      <c r="L148" s="287"/>
      <c r="M148" s="284"/>
    </row>
    <row r="149" spans="1:13" ht="70.5" customHeight="1" x14ac:dyDescent="0.25">
      <c r="A149" s="1062"/>
      <c r="B149" s="1340"/>
      <c r="C149" s="1340"/>
      <c r="D149" s="1384"/>
      <c r="E149" s="1384"/>
      <c r="F149" s="1384"/>
      <c r="G149" s="57" t="s">
        <v>579</v>
      </c>
      <c r="H149" s="56" t="s">
        <v>580</v>
      </c>
      <c r="I149" s="57">
        <v>3.6900000000000001E-3</v>
      </c>
      <c r="J149" s="57">
        <f>ROUND(3.6*I149*E146/1000,5)</f>
        <v>0.11637</v>
      </c>
      <c r="K149" s="287">
        <f>SUM(I146:I149)</f>
        <v>1.546E-2</v>
      </c>
      <c r="L149" s="287">
        <f>SUM(J146:J149)</f>
        <v>0.48755000000000004</v>
      </c>
      <c r="M149" s="284"/>
    </row>
    <row r="150" spans="1:13" ht="35.25" customHeight="1" x14ac:dyDescent="0.25">
      <c r="A150" s="1061">
        <v>4</v>
      </c>
      <c r="B150" s="1085" t="s">
        <v>581</v>
      </c>
      <c r="C150" s="1085" t="s">
        <v>742</v>
      </c>
      <c r="D150" s="1383" t="s">
        <v>734</v>
      </c>
      <c r="E150" s="1292">
        <v>8760</v>
      </c>
      <c r="F150" s="1292" t="s">
        <v>165</v>
      </c>
      <c r="G150" s="57" t="s">
        <v>570</v>
      </c>
      <c r="H150" s="475" t="s">
        <v>571</v>
      </c>
      <c r="I150" s="57">
        <v>1.34E-3</v>
      </c>
      <c r="J150" s="57">
        <f>ROUND(3.6*I150*E150/1000,5)</f>
        <v>4.2259999999999999E-2</v>
      </c>
      <c r="K150" s="287"/>
      <c r="L150" s="287"/>
      <c r="M150" s="287"/>
    </row>
    <row r="151" spans="1:13" ht="38.25" customHeight="1" x14ac:dyDescent="0.25">
      <c r="A151" s="1063"/>
      <c r="B151" s="1339"/>
      <c r="C151" s="1339"/>
      <c r="D151" s="1394"/>
      <c r="E151" s="1394"/>
      <c r="F151" s="1394"/>
      <c r="G151" s="57" t="s">
        <v>250</v>
      </c>
      <c r="H151" s="56" t="s">
        <v>251</v>
      </c>
      <c r="I151" s="57">
        <v>4.0000000000000003E-5</v>
      </c>
      <c r="J151" s="57">
        <f>ROUND(3.6*I151*E150/1000,5)</f>
        <v>1.2600000000000001E-3</v>
      </c>
      <c r="K151" s="287"/>
      <c r="L151" s="287"/>
      <c r="M151" s="287"/>
    </row>
    <row r="152" spans="1:13" ht="38.25" customHeight="1" x14ac:dyDescent="0.25">
      <c r="A152" s="1063"/>
      <c r="B152" s="1339"/>
      <c r="C152" s="1339"/>
      <c r="D152" s="1394"/>
      <c r="E152" s="1394"/>
      <c r="F152" s="1394"/>
      <c r="G152" s="57" t="s">
        <v>573</v>
      </c>
      <c r="H152" s="56" t="s">
        <v>572</v>
      </c>
      <c r="I152" s="57">
        <v>1.9000000000000001E-4</v>
      </c>
      <c r="J152" s="57">
        <f>ROUND(3.6*I152*E150/1000,5)</f>
        <v>5.9899999999999997E-3</v>
      </c>
      <c r="K152" s="287"/>
      <c r="L152" s="287"/>
      <c r="M152" s="284"/>
    </row>
    <row r="153" spans="1:13" ht="69.75" customHeight="1" x14ac:dyDescent="0.25">
      <c r="A153" s="1062"/>
      <c r="B153" s="1340"/>
      <c r="C153" s="1340"/>
      <c r="D153" s="1384"/>
      <c r="E153" s="1384"/>
      <c r="F153" s="1384"/>
      <c r="G153" s="57" t="s">
        <v>414</v>
      </c>
      <c r="H153" s="475" t="s">
        <v>415</v>
      </c>
      <c r="I153" s="57">
        <v>6.7000000000000002E-4</v>
      </c>
      <c r="J153" s="57">
        <f>ROUND(3.6*I153*E150/1000,4)</f>
        <v>2.1100000000000001E-2</v>
      </c>
      <c r="K153" s="287">
        <f>SUM(I150:I153)</f>
        <v>2.2400000000000002E-3</v>
      </c>
      <c r="L153" s="287">
        <f>SUM(J150:J153)</f>
        <v>7.0610000000000006E-2</v>
      </c>
      <c r="M153" s="368"/>
    </row>
    <row r="154" spans="1:13" ht="47.25" customHeight="1" x14ac:dyDescent="0.25">
      <c r="A154" s="1061">
        <v>5</v>
      </c>
      <c r="B154" s="1085" t="s">
        <v>583</v>
      </c>
      <c r="C154" s="1085" t="s">
        <v>584</v>
      </c>
      <c r="D154" s="1383" t="s">
        <v>543</v>
      </c>
      <c r="E154" s="1292">
        <v>8760</v>
      </c>
      <c r="F154" s="1400" t="s">
        <v>1486</v>
      </c>
      <c r="G154" s="57" t="s">
        <v>250</v>
      </c>
      <c r="H154" s="56" t="s">
        <v>251</v>
      </c>
      <c r="I154" s="57">
        <v>6.4000000000000005E-4</v>
      </c>
      <c r="J154" s="57">
        <f>ROUND(3.6*I154*E154/1000,5)</f>
        <v>2.018E-2</v>
      </c>
      <c r="K154" s="287"/>
      <c r="L154" s="287"/>
      <c r="M154" s="287"/>
    </row>
    <row r="155" spans="1:13" ht="58.5" customHeight="1" x14ac:dyDescent="0.25">
      <c r="A155" s="1062"/>
      <c r="B155" s="1340"/>
      <c r="C155" s="1340"/>
      <c r="D155" s="1384"/>
      <c r="E155" s="1384"/>
      <c r="F155" s="1401"/>
      <c r="G155" s="57" t="s">
        <v>586</v>
      </c>
      <c r="H155" s="475" t="s">
        <v>587</v>
      </c>
      <c r="I155" s="57">
        <v>4.0000000000000003E-5</v>
      </c>
      <c r="J155" s="57">
        <f>ROUND(3.6*I155*E154/1000,4)</f>
        <v>1.2999999999999999E-3</v>
      </c>
      <c r="K155" s="287">
        <f>SUM(I154:I155)</f>
        <v>6.8000000000000005E-4</v>
      </c>
      <c r="L155" s="287">
        <f>SUM(J154:J155)</f>
        <v>2.1479999999999999E-2</v>
      </c>
      <c r="M155" s="368"/>
    </row>
    <row r="156" spans="1:13" ht="31.5" customHeight="1" x14ac:dyDescent="0.25">
      <c r="A156" s="1061">
        <v>6</v>
      </c>
      <c r="B156" s="1085" t="s">
        <v>588</v>
      </c>
      <c r="C156" s="1085" t="s">
        <v>981</v>
      </c>
      <c r="D156" s="1383" t="s">
        <v>735</v>
      </c>
      <c r="E156" s="1292">
        <v>8760</v>
      </c>
      <c r="F156" s="1292" t="s">
        <v>165</v>
      </c>
      <c r="G156" s="57" t="s">
        <v>570</v>
      </c>
      <c r="H156" s="475" t="s">
        <v>571</v>
      </c>
      <c r="I156" s="57">
        <v>1.5499999999999999E-3</v>
      </c>
      <c r="J156" s="57">
        <f>ROUND(3.6*I156*E156/1000,5)</f>
        <v>4.888E-2</v>
      </c>
      <c r="K156" s="287"/>
      <c r="L156" s="287"/>
      <c r="M156" s="287"/>
    </row>
    <row r="157" spans="1:13" ht="48.75" customHeight="1" x14ac:dyDescent="0.25">
      <c r="A157" s="1402"/>
      <c r="B157" s="1341"/>
      <c r="C157" s="1341"/>
      <c r="D157" s="1403"/>
      <c r="E157" s="1403"/>
      <c r="F157" s="1403"/>
      <c r="G157" s="57" t="s">
        <v>590</v>
      </c>
      <c r="H157" s="475" t="s">
        <v>591</v>
      </c>
      <c r="I157" s="57">
        <v>1.5E-3</v>
      </c>
      <c r="J157" s="57">
        <f>ROUND(3.6*I157*E156/1000,5)</f>
        <v>4.7300000000000002E-2</v>
      </c>
      <c r="K157" s="287"/>
      <c r="L157" s="287"/>
      <c r="M157" s="287"/>
    </row>
    <row r="158" spans="1:13" ht="48.75" customHeight="1" x14ac:dyDescent="0.25">
      <c r="A158" s="1402"/>
      <c r="B158" s="1341"/>
      <c r="C158" s="1341"/>
      <c r="D158" s="1403"/>
      <c r="E158" s="1403"/>
      <c r="F158" s="1403"/>
      <c r="G158" s="57" t="s">
        <v>250</v>
      </c>
      <c r="H158" s="56" t="s">
        <v>251</v>
      </c>
      <c r="I158" s="57">
        <v>3.49E-3</v>
      </c>
      <c r="J158" s="57">
        <f>ROUND(3.6*I158*E156/1000,5)</f>
        <v>0.11006000000000001</v>
      </c>
      <c r="K158" s="287"/>
      <c r="L158" s="287"/>
      <c r="M158" s="287"/>
    </row>
    <row r="159" spans="1:13" ht="48.75" customHeight="1" x14ac:dyDescent="0.25">
      <c r="A159" s="1402"/>
      <c r="B159" s="1341"/>
      <c r="C159" s="1341"/>
      <c r="D159" s="1403"/>
      <c r="E159" s="1403"/>
      <c r="F159" s="1403"/>
      <c r="G159" s="57" t="s">
        <v>420</v>
      </c>
      <c r="H159" s="475" t="s">
        <v>66</v>
      </c>
      <c r="I159" s="57">
        <v>2.2499999999999998E-3</v>
      </c>
      <c r="J159" s="57">
        <f>ROUND(3.6*I159*E156/1000,4)</f>
        <v>7.0999999999999994E-2</v>
      </c>
      <c r="K159" s="368"/>
      <c r="L159" s="368"/>
      <c r="M159" s="368"/>
    </row>
    <row r="160" spans="1:13" ht="48.75" customHeight="1" x14ac:dyDescent="0.25">
      <c r="A160" s="1402"/>
      <c r="B160" s="1341"/>
      <c r="C160" s="1341"/>
      <c r="D160" s="1403"/>
      <c r="E160" s="1403"/>
      <c r="F160" s="1403"/>
      <c r="G160" s="57" t="s">
        <v>573</v>
      </c>
      <c r="H160" s="56" t="s">
        <v>572</v>
      </c>
      <c r="I160" s="57">
        <v>8.0000000000000007E-5</v>
      </c>
      <c r="J160" s="57">
        <f>ROUND(3.6*I160*E156/1000,5)</f>
        <v>2.5200000000000001E-3</v>
      </c>
      <c r="K160" s="287"/>
      <c r="L160" s="287"/>
      <c r="M160" s="287"/>
    </row>
    <row r="161" spans="1:13" ht="39.75" customHeight="1" x14ac:dyDescent="0.25">
      <c r="A161" s="1402"/>
      <c r="B161" s="1341"/>
      <c r="C161" s="1341"/>
      <c r="D161" s="1403"/>
      <c r="E161" s="1403"/>
      <c r="F161" s="1403"/>
      <c r="G161" s="57" t="s">
        <v>213</v>
      </c>
      <c r="H161" s="475" t="s">
        <v>62</v>
      </c>
      <c r="I161" s="57">
        <v>7.2000000000000005E-4</v>
      </c>
      <c r="J161" s="57">
        <f>ROUND(3.6*I161*E156/1000,5)</f>
        <v>2.2710000000000001E-2</v>
      </c>
      <c r="K161" s="287">
        <f>SUM(I156:I161)</f>
        <v>9.5899999999999996E-3</v>
      </c>
      <c r="L161" s="287">
        <f>SUM(J156:J161)</f>
        <v>0.30247000000000002</v>
      </c>
      <c r="M161" s="287"/>
    </row>
    <row r="162" spans="1:13" x14ac:dyDescent="0.25">
      <c r="A162" s="1358">
        <v>7</v>
      </c>
      <c r="B162" s="1085" t="s">
        <v>592</v>
      </c>
      <c r="C162" s="1085" t="s">
        <v>593</v>
      </c>
      <c r="D162" s="1383" t="s">
        <v>560</v>
      </c>
      <c r="E162" s="1292">
        <v>8760</v>
      </c>
      <c r="F162" s="1292" t="s">
        <v>165</v>
      </c>
      <c r="G162" s="57" t="s">
        <v>420</v>
      </c>
      <c r="H162" s="475" t="s">
        <v>66</v>
      </c>
      <c r="I162" s="57">
        <v>1.1299999999999999E-3</v>
      </c>
      <c r="J162" s="57">
        <f>ROUND(3.6*I162*E162/1000,4)</f>
        <v>3.56E-2</v>
      </c>
      <c r="K162" s="368"/>
      <c r="L162" s="368"/>
      <c r="M162" s="368"/>
    </row>
    <row r="163" spans="1:13" ht="75.75" customHeight="1" x14ac:dyDescent="0.25">
      <c r="A163" s="1338"/>
      <c r="B163" s="1340"/>
      <c r="C163" s="1340"/>
      <c r="D163" s="1393"/>
      <c r="E163" s="1384"/>
      <c r="F163" s="1384"/>
      <c r="G163" s="57" t="s">
        <v>739</v>
      </c>
      <c r="H163" s="475" t="s">
        <v>140</v>
      </c>
      <c r="I163" s="57">
        <v>2.8E-3</v>
      </c>
      <c r="J163" s="57">
        <f>ROUND(3.6*I163*E162/1000,4)</f>
        <v>8.8300000000000003E-2</v>
      </c>
      <c r="K163" s="287">
        <f>SUM(I162:I163)</f>
        <v>3.9299999999999995E-3</v>
      </c>
      <c r="L163" s="368">
        <f>SUM(J162:J163)</f>
        <v>0.12390000000000001</v>
      </c>
      <c r="M163" s="368"/>
    </row>
    <row r="164" spans="1:13" ht="25.5" customHeight="1" x14ac:dyDescent="0.25">
      <c r="A164" s="1358">
        <v>8</v>
      </c>
      <c r="B164" s="1085" t="s">
        <v>743</v>
      </c>
      <c r="C164" s="1085" t="s">
        <v>744</v>
      </c>
      <c r="D164" s="1383" t="s">
        <v>555</v>
      </c>
      <c r="E164" s="1292">
        <v>8760</v>
      </c>
      <c r="F164" s="1292" t="s">
        <v>165</v>
      </c>
      <c r="G164" s="57" t="s">
        <v>570</v>
      </c>
      <c r="H164" s="475" t="s">
        <v>571</v>
      </c>
      <c r="I164" s="57">
        <v>2.2000000000000001E-4</v>
      </c>
      <c r="J164" s="57">
        <f>ROUND(3.6*I164*E164/1000,5)</f>
        <v>6.94E-3</v>
      </c>
      <c r="K164" s="287"/>
      <c r="L164" s="287"/>
      <c r="M164" s="287"/>
    </row>
    <row r="165" spans="1:13" ht="25.5" customHeight="1" x14ac:dyDescent="0.25">
      <c r="A165" s="1337"/>
      <c r="B165" s="1339"/>
      <c r="C165" s="1339"/>
      <c r="D165" s="1392"/>
      <c r="E165" s="1394"/>
      <c r="F165" s="1394"/>
      <c r="G165" s="57" t="s">
        <v>250</v>
      </c>
      <c r="H165" s="56" t="s">
        <v>251</v>
      </c>
      <c r="I165" s="57">
        <v>1.16E-3</v>
      </c>
      <c r="J165" s="57">
        <f>ROUND(3.6*I165*E164/1000,5)</f>
        <v>3.6580000000000001E-2</v>
      </c>
      <c r="K165" s="287"/>
      <c r="L165" s="287"/>
      <c r="M165" s="287"/>
    </row>
    <row r="166" spans="1:13" ht="25.5" customHeight="1" x14ac:dyDescent="0.25">
      <c r="A166" s="1338"/>
      <c r="B166" s="1340"/>
      <c r="C166" s="1340"/>
      <c r="D166" s="1393"/>
      <c r="E166" s="1384"/>
      <c r="F166" s="1384"/>
      <c r="G166" s="57" t="s">
        <v>597</v>
      </c>
      <c r="H166" s="56" t="s">
        <v>598</v>
      </c>
      <c r="I166" s="57">
        <v>3.3300000000000001E-3</v>
      </c>
      <c r="J166" s="57">
        <f>ROUND(3.6*I166*E164/1000,5)</f>
        <v>0.10501000000000001</v>
      </c>
      <c r="K166" s="287">
        <f>SUM(I164:I166)</f>
        <v>4.7099999999999998E-3</v>
      </c>
      <c r="L166" s="287">
        <f>SUM(J164:J166)</f>
        <v>0.14853</v>
      </c>
      <c r="M166" s="287"/>
    </row>
    <row r="167" spans="1:13" ht="75.75" customHeight="1" x14ac:dyDescent="0.25">
      <c r="A167" s="25">
        <v>9</v>
      </c>
      <c r="B167" s="57" t="s">
        <v>745</v>
      </c>
      <c r="C167" s="57" t="s">
        <v>746</v>
      </c>
      <c r="D167" s="478" t="s">
        <v>556</v>
      </c>
      <c r="E167" s="477">
        <v>8760</v>
      </c>
      <c r="F167" s="477" t="s">
        <v>165</v>
      </c>
      <c r="G167" s="57" t="s">
        <v>423</v>
      </c>
      <c r="H167" s="475" t="s">
        <v>424</v>
      </c>
      <c r="I167" s="57">
        <v>9.2000000000000003E-4</v>
      </c>
      <c r="J167" s="57">
        <f>ROUND(3.6*I167*E167/1000,4)</f>
        <v>2.9000000000000001E-2</v>
      </c>
      <c r="K167" s="287">
        <f>I167</f>
        <v>9.2000000000000003E-4</v>
      </c>
      <c r="L167" s="287">
        <f>J167</f>
        <v>2.9000000000000001E-2</v>
      </c>
      <c r="M167" s="368"/>
    </row>
    <row r="168" spans="1:13" ht="68.25" customHeight="1" x14ac:dyDescent="0.25">
      <c r="A168" s="1385">
        <v>10</v>
      </c>
      <c r="B168" s="1387" t="s">
        <v>600</v>
      </c>
      <c r="C168" s="1387" t="s">
        <v>1527</v>
      </c>
      <c r="D168" s="1389" t="s">
        <v>563</v>
      </c>
      <c r="E168" s="1391">
        <v>8760</v>
      </c>
      <c r="F168" s="1391" t="s">
        <v>165</v>
      </c>
      <c r="G168" s="57" t="s">
        <v>590</v>
      </c>
      <c r="H168" s="475" t="s">
        <v>591</v>
      </c>
      <c r="I168" s="57">
        <v>2.5200000000000001E-3</v>
      </c>
      <c r="J168" s="57">
        <f>ROUND(3.6*I168*E168/1000,5)</f>
        <v>7.9469999999999999E-2</v>
      </c>
      <c r="K168" s="287"/>
      <c r="L168" s="287"/>
      <c r="M168" s="287"/>
    </row>
    <row r="169" spans="1:13" ht="54.75" customHeight="1" x14ac:dyDescent="0.25">
      <c r="A169" s="1386"/>
      <c r="B169" s="1388"/>
      <c r="C169" s="1388"/>
      <c r="D169" s="1390"/>
      <c r="E169" s="1390"/>
      <c r="F169" s="1390"/>
      <c r="G169" s="57" t="s">
        <v>250</v>
      </c>
      <c r="H169" s="56" t="s">
        <v>251</v>
      </c>
      <c r="I169" s="57">
        <v>2.7499999999999998E-3</v>
      </c>
      <c r="J169" s="57">
        <f>ROUND(3.6*I169*E168/1000,5)</f>
        <v>8.6720000000000005E-2</v>
      </c>
      <c r="K169" s="287"/>
      <c r="L169" s="287"/>
      <c r="M169" s="287"/>
    </row>
    <row r="170" spans="1:13" ht="54.75" customHeight="1" x14ac:dyDescent="0.25">
      <c r="A170" s="1386"/>
      <c r="B170" s="1388"/>
      <c r="C170" s="1388"/>
      <c r="D170" s="1390"/>
      <c r="E170" s="1390"/>
      <c r="F170" s="1390"/>
      <c r="G170" s="57" t="s">
        <v>570</v>
      </c>
      <c r="H170" s="475" t="s">
        <v>571</v>
      </c>
      <c r="I170" s="57">
        <v>2.8800000000000002E-3</v>
      </c>
      <c r="J170" s="57">
        <f>ROUND(3.6*I170*E168/1000,5)</f>
        <v>9.0819999999999998E-2</v>
      </c>
      <c r="K170" s="287"/>
      <c r="L170" s="287"/>
      <c r="M170" s="287"/>
    </row>
    <row r="171" spans="1:13" ht="54.75" customHeight="1" x14ac:dyDescent="0.25">
      <c r="A171" s="1386"/>
      <c r="B171" s="1388"/>
      <c r="C171" s="1388"/>
      <c r="D171" s="1390"/>
      <c r="E171" s="1390"/>
      <c r="F171" s="1390"/>
      <c r="G171" s="57" t="s">
        <v>602</v>
      </c>
      <c r="H171" s="475" t="s">
        <v>603</v>
      </c>
      <c r="I171" s="57">
        <v>3.8999999999999999E-4</v>
      </c>
      <c r="J171" s="57">
        <f>ROUND(3.6*I171*E168/1000,4)</f>
        <v>1.23E-2</v>
      </c>
      <c r="K171" s="368"/>
      <c r="L171" s="368"/>
      <c r="M171" s="368"/>
    </row>
    <row r="172" spans="1:13" ht="57.75" customHeight="1" x14ac:dyDescent="0.25">
      <c r="A172" s="1386"/>
      <c r="B172" s="1388"/>
      <c r="C172" s="1388"/>
      <c r="D172" s="1390"/>
      <c r="E172" s="1390"/>
      <c r="F172" s="1390"/>
      <c r="G172" s="57" t="s">
        <v>689</v>
      </c>
      <c r="H172" s="475" t="s">
        <v>690</v>
      </c>
      <c r="I172" s="57">
        <v>2.5200000000000001E-3</v>
      </c>
      <c r="J172" s="57">
        <f>ROUND(3.6*I172*E168/1000,5)</f>
        <v>7.9469999999999999E-2</v>
      </c>
      <c r="K172" s="287">
        <f>SUM(I168:I172)</f>
        <v>1.106E-2</v>
      </c>
      <c r="L172" s="287">
        <f>SUM(J168:J172)</f>
        <v>0.34877999999999998</v>
      </c>
      <c r="M172" s="287"/>
    </row>
    <row r="173" spans="1:13" ht="72.75" customHeight="1" x14ac:dyDescent="0.25">
      <c r="A173" s="1385">
        <v>11</v>
      </c>
      <c r="B173" s="1387" t="s">
        <v>748</v>
      </c>
      <c r="C173" s="1387" t="s">
        <v>749</v>
      </c>
      <c r="D173" s="1389" t="s">
        <v>559</v>
      </c>
      <c r="E173" s="1391">
        <v>8760</v>
      </c>
      <c r="F173" s="1391" t="s">
        <v>165</v>
      </c>
      <c r="G173" s="57" t="s">
        <v>420</v>
      </c>
      <c r="H173" s="475" t="s">
        <v>66</v>
      </c>
      <c r="I173" s="57">
        <v>1.1100000000000001E-3</v>
      </c>
      <c r="J173" s="57">
        <f>ROUND(3.6*I173*E173/1000,5)</f>
        <v>3.5000000000000003E-2</v>
      </c>
      <c r="K173" s="287"/>
      <c r="L173" s="287"/>
      <c r="M173" s="287"/>
    </row>
    <row r="174" spans="1:13" ht="72.75" customHeight="1" x14ac:dyDescent="0.25">
      <c r="A174" s="1386"/>
      <c r="B174" s="1388"/>
      <c r="C174" s="1388"/>
      <c r="D174" s="1390"/>
      <c r="E174" s="1390"/>
      <c r="F174" s="1390"/>
      <c r="G174" s="57" t="s">
        <v>422</v>
      </c>
      <c r="H174" s="475" t="s">
        <v>52</v>
      </c>
      <c r="I174" s="57">
        <v>5.5999999999999995E-4</v>
      </c>
      <c r="J174" s="57">
        <f>ROUND(3.6*I174*E173/1000,5)</f>
        <v>1.7659999999999999E-2</v>
      </c>
      <c r="K174" s="287"/>
      <c r="L174" s="287"/>
      <c r="M174" s="287"/>
    </row>
    <row r="175" spans="1:13" ht="72.75" customHeight="1" x14ac:dyDescent="0.25">
      <c r="A175" s="1386"/>
      <c r="B175" s="1388"/>
      <c r="C175" s="1388"/>
      <c r="D175" s="1390"/>
      <c r="E175" s="1390"/>
      <c r="F175" s="1390"/>
      <c r="G175" s="57" t="s">
        <v>739</v>
      </c>
      <c r="H175" s="475" t="s">
        <v>140</v>
      </c>
      <c r="I175" s="57">
        <v>5.2999999999999998E-4</v>
      </c>
      <c r="J175" s="57">
        <f>ROUND(3.6*I175*E173/1000,5)</f>
        <v>1.6709999999999999E-2</v>
      </c>
      <c r="K175" s="287"/>
      <c r="L175" s="287"/>
      <c r="M175" s="287"/>
    </row>
    <row r="176" spans="1:13" ht="72.75" customHeight="1" x14ac:dyDescent="0.25">
      <c r="A176" s="1386"/>
      <c r="B176" s="1388"/>
      <c r="C176" s="1388"/>
      <c r="D176" s="1390"/>
      <c r="E176" s="1390"/>
      <c r="F176" s="1390"/>
      <c r="G176" s="57" t="s">
        <v>423</v>
      </c>
      <c r="H176" s="475" t="s">
        <v>424</v>
      </c>
      <c r="I176" s="57">
        <v>1.7000000000000001E-4</v>
      </c>
      <c r="J176" s="57">
        <f>ROUND(3.6*I176*E173/1000,4)</f>
        <v>5.4000000000000003E-3</v>
      </c>
      <c r="K176" s="368"/>
      <c r="L176" s="368"/>
      <c r="M176" s="368"/>
    </row>
    <row r="177" spans="1:14" ht="72.75" customHeight="1" x14ac:dyDescent="0.25">
      <c r="A177" s="1386"/>
      <c r="B177" s="1388"/>
      <c r="C177" s="1388"/>
      <c r="D177" s="1390"/>
      <c r="E177" s="1390"/>
      <c r="F177" s="1390"/>
      <c r="G177" s="57" t="s">
        <v>416</v>
      </c>
      <c r="H177" s="475" t="s">
        <v>57</v>
      </c>
      <c r="I177" s="57">
        <v>1.1100000000000001E-3</v>
      </c>
      <c r="J177" s="57">
        <f>ROUND(3.6*I177*E173/1000,5)</f>
        <v>3.5000000000000003E-2</v>
      </c>
      <c r="K177" s="287">
        <f>SUM(I173:I177)</f>
        <v>3.4800000000000005E-3</v>
      </c>
      <c r="L177" s="287">
        <f>SUM(J173:J177)</f>
        <v>0.10977000000000001</v>
      </c>
      <c r="M177" s="287"/>
    </row>
    <row r="178" spans="1:14" ht="310.5" customHeight="1" x14ac:dyDescent="0.25">
      <c r="A178" s="25">
        <v>12</v>
      </c>
      <c r="B178" s="57" t="s">
        <v>750</v>
      </c>
      <c r="C178" s="57" t="s">
        <v>605</v>
      </c>
      <c r="D178" s="478" t="s">
        <v>569</v>
      </c>
      <c r="E178" s="477">
        <v>8760</v>
      </c>
      <c r="F178" s="477" t="s">
        <v>165</v>
      </c>
      <c r="G178" s="57" t="s">
        <v>739</v>
      </c>
      <c r="H178" s="475" t="s">
        <v>140</v>
      </c>
      <c r="I178" s="57">
        <v>2.8700000000000002E-3</v>
      </c>
      <c r="J178" s="57">
        <f>ROUND(3.6*I178*E178/1000,4)</f>
        <v>9.0499999999999997E-2</v>
      </c>
      <c r="K178" s="368">
        <f>I178</f>
        <v>2.8700000000000002E-3</v>
      </c>
      <c r="L178" s="368">
        <f>J178</f>
        <v>9.0499999999999997E-2</v>
      </c>
      <c r="M178" s="368"/>
      <c r="N178" s="62"/>
    </row>
    <row r="179" spans="1:14" s="253" customFormat="1" ht="53.25" customHeight="1" x14ac:dyDescent="0.25">
      <c r="A179" s="1171">
        <v>13</v>
      </c>
      <c r="B179" s="1391" t="s">
        <v>607</v>
      </c>
      <c r="C179" s="1391" t="s">
        <v>608</v>
      </c>
      <c r="D179" s="1389" t="s">
        <v>736</v>
      </c>
      <c r="E179" s="1391">
        <v>4152</v>
      </c>
      <c r="F179" s="1391" t="s">
        <v>165</v>
      </c>
      <c r="G179" s="477" t="s">
        <v>570</v>
      </c>
      <c r="H179" s="478" t="s">
        <v>571</v>
      </c>
      <c r="I179" s="477">
        <v>4.2000000000000002E-4</v>
      </c>
      <c r="J179" s="477">
        <f>ROUND(3.6*I179*E179/1000,5)</f>
        <v>6.28E-3</v>
      </c>
      <c r="K179" s="291"/>
      <c r="L179" s="291"/>
      <c r="M179" s="291"/>
      <c r="N179" s="379"/>
    </row>
    <row r="180" spans="1:14" s="253" customFormat="1" ht="53.25" customHeight="1" x14ac:dyDescent="0.25">
      <c r="A180" s="1397"/>
      <c r="B180" s="1390"/>
      <c r="C180" s="1390"/>
      <c r="D180" s="1390"/>
      <c r="E180" s="1390"/>
      <c r="F180" s="1390"/>
      <c r="G180" s="477" t="s">
        <v>573</v>
      </c>
      <c r="H180" s="479" t="s">
        <v>572</v>
      </c>
      <c r="I180" s="477">
        <v>6.0000000000000002E-5</v>
      </c>
      <c r="J180" s="477">
        <f>ROUND(3.6*I180*E179/1000,5)</f>
        <v>8.9999999999999998E-4</v>
      </c>
      <c r="K180" s="291"/>
      <c r="L180" s="291"/>
      <c r="M180" s="291"/>
    </row>
    <row r="181" spans="1:14" s="253" customFormat="1" ht="53.25" customHeight="1" x14ac:dyDescent="0.25">
      <c r="A181" s="1397"/>
      <c r="B181" s="1390"/>
      <c r="C181" s="1390"/>
      <c r="D181" s="1390"/>
      <c r="E181" s="1390"/>
      <c r="F181" s="1390"/>
      <c r="G181" s="477" t="s">
        <v>416</v>
      </c>
      <c r="H181" s="478" t="s">
        <v>57</v>
      </c>
      <c r="I181" s="477">
        <v>1.48E-6</v>
      </c>
      <c r="J181" s="477">
        <f>ROUND(3.6*I181*E179/1000,5)</f>
        <v>2.0000000000000002E-5</v>
      </c>
      <c r="K181" s="291"/>
      <c r="L181" s="291"/>
      <c r="M181" s="291"/>
    </row>
    <row r="182" spans="1:14" s="253" customFormat="1" ht="53.25" customHeight="1" x14ac:dyDescent="0.25">
      <c r="A182" s="1397"/>
      <c r="B182" s="1390"/>
      <c r="C182" s="1390"/>
      <c r="D182" s="1390"/>
      <c r="E182" s="1390"/>
      <c r="F182" s="1390"/>
      <c r="G182" s="477" t="s">
        <v>213</v>
      </c>
      <c r="H182" s="478" t="s">
        <v>62</v>
      </c>
      <c r="I182" s="477">
        <v>6.9999999999999994E-5</v>
      </c>
      <c r="J182" s="477">
        <f>ROUND(3.6*I182*E179/1000,5)</f>
        <v>1.0499999999999999E-3</v>
      </c>
      <c r="K182" s="291">
        <f>SUM(I179:I182)</f>
        <v>5.5148000000000003E-4</v>
      </c>
      <c r="L182" s="291">
        <f>SUM(J179:J182)</f>
        <v>8.2500000000000004E-3</v>
      </c>
      <c r="M182" s="291"/>
    </row>
    <row r="183" spans="1:14" ht="22.5" customHeight="1" x14ac:dyDescent="0.25">
      <c r="A183" s="1061">
        <v>14</v>
      </c>
      <c r="B183" s="1085" t="s">
        <v>610</v>
      </c>
      <c r="C183" s="1085" t="s">
        <v>575</v>
      </c>
      <c r="D183" s="1383" t="s">
        <v>578</v>
      </c>
      <c r="E183" s="1292">
        <v>4152</v>
      </c>
      <c r="F183" s="1292" t="s">
        <v>165</v>
      </c>
      <c r="G183" s="57" t="s">
        <v>570</v>
      </c>
      <c r="H183" s="475" t="s">
        <v>571</v>
      </c>
      <c r="I183" s="57">
        <v>1.8199999999999999E-6</v>
      </c>
      <c r="J183" s="57">
        <f>ROUND(3.6*I183*E183/1000,5)</f>
        <v>3.0000000000000001E-5</v>
      </c>
      <c r="K183" s="287"/>
      <c r="L183" s="287"/>
      <c r="M183" s="287"/>
      <c r="N183" s="62"/>
    </row>
    <row r="184" spans="1:14" ht="24.75" customHeight="1" x14ac:dyDescent="0.25">
      <c r="A184" s="1398"/>
      <c r="B184" s="1086"/>
      <c r="C184" s="1086"/>
      <c r="D184" s="1399"/>
      <c r="E184" s="1357"/>
      <c r="F184" s="1357"/>
      <c r="G184" s="57" t="s">
        <v>416</v>
      </c>
      <c r="H184" s="475" t="s">
        <v>57</v>
      </c>
      <c r="I184" s="57">
        <v>1.8199999999999999E-6</v>
      </c>
      <c r="J184" s="57">
        <f>ROUND(3.6*I184*E183/1000,5)</f>
        <v>3.0000000000000001E-5</v>
      </c>
      <c r="K184" s="287">
        <f>SUM(I183:I184)</f>
        <v>3.6399999999999999E-6</v>
      </c>
      <c r="L184" s="287">
        <f>SUM(J183:J184)</f>
        <v>6.0000000000000002E-5</v>
      </c>
      <c r="M184" s="287"/>
    </row>
    <row r="185" spans="1:14" ht="63" customHeight="1" x14ac:dyDescent="0.25">
      <c r="A185" s="1385">
        <v>15</v>
      </c>
      <c r="B185" s="1387" t="s">
        <v>612</v>
      </c>
      <c r="C185" s="1387" t="s">
        <v>741</v>
      </c>
      <c r="D185" s="1389" t="s">
        <v>693</v>
      </c>
      <c r="E185" s="1391">
        <v>4152</v>
      </c>
      <c r="F185" s="1391" t="s">
        <v>165</v>
      </c>
      <c r="G185" s="57" t="s">
        <v>570</v>
      </c>
      <c r="H185" s="475" t="s">
        <v>571</v>
      </c>
      <c r="I185" s="57">
        <v>5.0000000000000002E-5</v>
      </c>
      <c r="J185" s="57">
        <f>ROUND(3.6*I185*E185/1000,5)</f>
        <v>7.5000000000000002E-4</v>
      </c>
      <c r="K185" s="287"/>
      <c r="L185" s="287"/>
      <c r="M185" s="287"/>
      <c r="N185" s="62"/>
    </row>
    <row r="186" spans="1:14" ht="63" customHeight="1" x14ac:dyDescent="0.25">
      <c r="A186" s="1386"/>
      <c r="B186" s="1388"/>
      <c r="C186" s="1388"/>
      <c r="D186" s="1390"/>
      <c r="E186" s="1390"/>
      <c r="F186" s="1390"/>
      <c r="G186" s="57" t="s">
        <v>573</v>
      </c>
      <c r="H186" s="56" t="s">
        <v>572</v>
      </c>
      <c r="I186" s="57">
        <v>1.0000000000000001E-5</v>
      </c>
      <c r="J186" s="57">
        <f>ROUND(3.6*I186*E185/1000,5)</f>
        <v>1.4999999999999999E-4</v>
      </c>
      <c r="K186" s="287"/>
      <c r="L186" s="287"/>
      <c r="M186" s="287"/>
    </row>
    <row r="187" spans="1:14" ht="63" customHeight="1" x14ac:dyDescent="0.25">
      <c r="A187" s="1386"/>
      <c r="B187" s="1388"/>
      <c r="C187" s="1388"/>
      <c r="D187" s="1390"/>
      <c r="E187" s="1390"/>
      <c r="F187" s="1390"/>
      <c r="G187" s="57" t="s">
        <v>442</v>
      </c>
      <c r="H187" s="56" t="s">
        <v>441</v>
      </c>
      <c r="I187" s="57">
        <v>4.8900000000000002E-3</v>
      </c>
      <c r="J187" s="57">
        <f>ROUND(3.6*I187*E185/1000,5)</f>
        <v>7.3090000000000002E-2</v>
      </c>
      <c r="K187" s="287"/>
      <c r="L187" s="287"/>
      <c r="M187" s="287"/>
    </row>
    <row r="188" spans="1:14" ht="54.75" customHeight="1" x14ac:dyDescent="0.25">
      <c r="A188" s="1386"/>
      <c r="B188" s="1388"/>
      <c r="C188" s="1388"/>
      <c r="D188" s="1390"/>
      <c r="E188" s="1390"/>
      <c r="F188" s="1390"/>
      <c r="G188" s="57" t="s">
        <v>579</v>
      </c>
      <c r="H188" s="56" t="s">
        <v>580</v>
      </c>
      <c r="I188" s="57">
        <v>1.83E-3</v>
      </c>
      <c r="J188" s="57">
        <f>ROUND(3.6*I188*E185/1000,4)</f>
        <v>2.7400000000000001E-2</v>
      </c>
      <c r="K188" s="287">
        <f>SUM(I185:I188)</f>
        <v>6.7800000000000004E-3</v>
      </c>
      <c r="L188" s="287">
        <f>SUM(J185:J188)</f>
        <v>0.10139000000000001</v>
      </c>
      <c r="M188" s="368"/>
    </row>
    <row r="189" spans="1:14" ht="28.5" customHeight="1" x14ac:dyDescent="0.25">
      <c r="A189" s="1385">
        <v>16</v>
      </c>
      <c r="B189" s="1387" t="s">
        <v>614</v>
      </c>
      <c r="C189" s="1387" t="s">
        <v>742</v>
      </c>
      <c r="D189" s="1389" t="s">
        <v>737</v>
      </c>
      <c r="E189" s="1391">
        <v>4152</v>
      </c>
      <c r="F189" s="1391" t="s">
        <v>165</v>
      </c>
      <c r="G189" s="57" t="s">
        <v>570</v>
      </c>
      <c r="H189" s="475" t="s">
        <v>571</v>
      </c>
      <c r="I189" s="57">
        <v>4.4000000000000002E-4</v>
      </c>
      <c r="J189" s="57">
        <f>ROUND(3.6*I189*E189/1000,5)</f>
        <v>6.5799999999999999E-3</v>
      </c>
      <c r="K189" s="287"/>
      <c r="L189" s="287"/>
      <c r="M189" s="287"/>
      <c r="N189" s="62"/>
    </row>
    <row r="190" spans="1:14" ht="28.5" customHeight="1" x14ac:dyDescent="0.25">
      <c r="A190" s="1386"/>
      <c r="B190" s="1388"/>
      <c r="C190" s="1388"/>
      <c r="D190" s="1390"/>
      <c r="E190" s="1390"/>
      <c r="F190" s="1390"/>
      <c r="G190" s="57" t="s">
        <v>250</v>
      </c>
      <c r="H190" s="56" t="s">
        <v>251</v>
      </c>
      <c r="I190" s="57">
        <v>1.0000000000000001E-5</v>
      </c>
      <c r="J190" s="57">
        <f>ROUND(3.6*I190*E189/1000,5)</f>
        <v>1.4999999999999999E-4</v>
      </c>
      <c r="K190" s="287"/>
      <c r="L190" s="287"/>
      <c r="M190" s="287"/>
    </row>
    <row r="191" spans="1:14" ht="28.5" customHeight="1" x14ac:dyDescent="0.25">
      <c r="A191" s="1386"/>
      <c r="B191" s="1388"/>
      <c r="C191" s="1388"/>
      <c r="D191" s="1390"/>
      <c r="E191" s="1390"/>
      <c r="F191" s="1390"/>
      <c r="G191" s="57" t="s">
        <v>573</v>
      </c>
      <c r="H191" s="56" t="s">
        <v>572</v>
      </c>
      <c r="I191" s="57">
        <v>6.0000000000000002E-5</v>
      </c>
      <c r="J191" s="57">
        <f>ROUND(3.6*I191*E189/1000,5)</f>
        <v>8.9999999999999998E-4</v>
      </c>
      <c r="K191" s="287"/>
      <c r="L191" s="287"/>
      <c r="M191" s="287"/>
    </row>
    <row r="192" spans="1:14" ht="63.75" customHeight="1" x14ac:dyDescent="0.25">
      <c r="A192" s="1386"/>
      <c r="B192" s="1388"/>
      <c r="C192" s="1388"/>
      <c r="D192" s="1390"/>
      <c r="E192" s="1390"/>
      <c r="F192" s="1390"/>
      <c r="G192" s="57" t="s">
        <v>414</v>
      </c>
      <c r="H192" s="475" t="s">
        <v>415</v>
      </c>
      <c r="I192" s="57">
        <v>2.2000000000000001E-4</v>
      </c>
      <c r="J192" s="57">
        <f>ROUND(3.6*I192*E189/1000,4)</f>
        <v>3.3E-3</v>
      </c>
      <c r="K192" s="287">
        <f>SUM(I189:I192)</f>
        <v>7.3000000000000007E-4</v>
      </c>
      <c r="L192" s="287">
        <f>SUM(J189:J192)</f>
        <v>1.0929999999999999E-2</v>
      </c>
      <c r="M192" s="368"/>
    </row>
    <row r="193" spans="1:14" ht="21.75" customHeight="1" x14ac:dyDescent="0.25">
      <c r="A193" s="1385">
        <v>17</v>
      </c>
      <c r="B193" s="1387" t="s">
        <v>614</v>
      </c>
      <c r="C193" s="1387" t="s">
        <v>742</v>
      </c>
      <c r="D193" s="1389" t="s">
        <v>695</v>
      </c>
      <c r="E193" s="1391">
        <v>4152</v>
      </c>
      <c r="F193" s="1391" t="s">
        <v>165</v>
      </c>
      <c r="G193" s="57" t="s">
        <v>570</v>
      </c>
      <c r="H193" s="475" t="s">
        <v>571</v>
      </c>
      <c r="I193" s="57">
        <v>4.4000000000000002E-4</v>
      </c>
      <c r="J193" s="57">
        <f>ROUND(3.6*I193*E193/1000,5)</f>
        <v>6.5799999999999999E-3</v>
      </c>
      <c r="K193" s="287"/>
      <c r="L193" s="287"/>
      <c r="M193" s="287"/>
      <c r="N193" s="62"/>
    </row>
    <row r="194" spans="1:14" ht="29.25" customHeight="1" x14ac:dyDescent="0.25">
      <c r="A194" s="1386"/>
      <c r="B194" s="1388"/>
      <c r="C194" s="1388"/>
      <c r="D194" s="1390"/>
      <c r="E194" s="1390"/>
      <c r="F194" s="1390"/>
      <c r="G194" s="57" t="s">
        <v>250</v>
      </c>
      <c r="H194" s="56" t="s">
        <v>251</v>
      </c>
      <c r="I194" s="57">
        <v>1.0000000000000001E-5</v>
      </c>
      <c r="J194" s="57">
        <f>ROUND(3.6*I194*E193/1000,5)</f>
        <v>1.4999999999999999E-4</v>
      </c>
      <c r="K194" s="287"/>
      <c r="L194" s="287"/>
      <c r="M194" s="287"/>
    </row>
    <row r="195" spans="1:14" ht="29.25" customHeight="1" x14ac:dyDescent="0.25">
      <c r="A195" s="1386"/>
      <c r="B195" s="1388"/>
      <c r="C195" s="1388"/>
      <c r="D195" s="1390"/>
      <c r="E195" s="1390"/>
      <c r="F195" s="1390"/>
      <c r="G195" s="57" t="s">
        <v>573</v>
      </c>
      <c r="H195" s="56" t="s">
        <v>572</v>
      </c>
      <c r="I195" s="57">
        <v>6.0000000000000002E-5</v>
      </c>
      <c r="J195" s="57">
        <f>ROUND(3.6*I195*E193/1000,5)</f>
        <v>8.9999999999999998E-4</v>
      </c>
      <c r="K195" s="287"/>
      <c r="L195" s="287"/>
      <c r="M195" s="287"/>
    </row>
    <row r="196" spans="1:14" ht="69" customHeight="1" x14ac:dyDescent="0.25">
      <c r="A196" s="1386"/>
      <c r="B196" s="1388"/>
      <c r="C196" s="1388"/>
      <c r="D196" s="1390"/>
      <c r="E196" s="1390"/>
      <c r="F196" s="1390"/>
      <c r="G196" s="57" t="s">
        <v>414</v>
      </c>
      <c r="H196" s="475" t="s">
        <v>415</v>
      </c>
      <c r="I196" s="57">
        <v>2.2000000000000001E-4</v>
      </c>
      <c r="J196" s="57">
        <f>ROUND(3.6*I196*E193/1000,4)</f>
        <v>3.3E-3</v>
      </c>
      <c r="K196" s="287">
        <f>SUM(I193:I196)</f>
        <v>7.3000000000000007E-4</v>
      </c>
      <c r="L196" s="287">
        <f>SUM(J193:J196)</f>
        <v>1.0929999999999999E-2</v>
      </c>
      <c r="M196" s="368"/>
    </row>
    <row r="197" spans="1:14" ht="39.75" customHeight="1" x14ac:dyDescent="0.25">
      <c r="A197" s="25">
        <v>18</v>
      </c>
      <c r="B197" s="57" t="s">
        <v>617</v>
      </c>
      <c r="C197" s="57" t="s">
        <v>618</v>
      </c>
      <c r="D197" s="478" t="s">
        <v>594</v>
      </c>
      <c r="E197" s="477">
        <v>8760</v>
      </c>
      <c r="F197" s="477" t="s">
        <v>165</v>
      </c>
      <c r="G197" s="57" t="s">
        <v>570</v>
      </c>
      <c r="H197" s="475" t="s">
        <v>571</v>
      </c>
      <c r="I197" s="57">
        <v>7.0200000000000002E-3</v>
      </c>
      <c r="J197" s="57">
        <f>ROUND(3.6*I197*E197/1000,5)</f>
        <v>0.22137999999999999</v>
      </c>
      <c r="K197" s="287">
        <f>I197</f>
        <v>7.0200000000000002E-3</v>
      </c>
      <c r="L197" s="287">
        <f>J197</f>
        <v>0.22137999999999999</v>
      </c>
      <c r="M197" s="287"/>
      <c r="N197" s="62"/>
    </row>
    <row r="198" spans="1:14" ht="22.5" customHeight="1" x14ac:dyDescent="0.25">
      <c r="A198" s="1385">
        <v>19</v>
      </c>
      <c r="B198" s="1387" t="s">
        <v>617</v>
      </c>
      <c r="C198" s="1387" t="s">
        <v>620</v>
      </c>
      <c r="D198" s="1389" t="s">
        <v>596</v>
      </c>
      <c r="E198" s="1391">
        <v>8760</v>
      </c>
      <c r="F198" s="1391" t="s">
        <v>165</v>
      </c>
      <c r="G198" s="57" t="s">
        <v>570</v>
      </c>
      <c r="H198" s="475" t="s">
        <v>571</v>
      </c>
      <c r="I198" s="57">
        <v>5.0000000000000001E-4</v>
      </c>
      <c r="J198" s="57">
        <f>ROUND(3.6*I198*E198/1000,5)</f>
        <v>1.5769999999999999E-2</v>
      </c>
      <c r="K198" s="287"/>
      <c r="L198" s="287"/>
      <c r="M198" s="287"/>
      <c r="N198" s="62"/>
    </row>
    <row r="199" spans="1:14" ht="25.5" customHeight="1" x14ac:dyDescent="0.25">
      <c r="A199" s="1386"/>
      <c r="B199" s="1388"/>
      <c r="C199" s="1388"/>
      <c r="D199" s="1390"/>
      <c r="E199" s="1390"/>
      <c r="F199" s="1390"/>
      <c r="G199" s="57" t="s">
        <v>573</v>
      </c>
      <c r="H199" s="56" t="s">
        <v>572</v>
      </c>
      <c r="I199" s="57">
        <v>1.25E-3</v>
      </c>
      <c r="J199" s="57">
        <f>ROUND(3.6*I199*E198/1000,5)</f>
        <v>3.9419999999999997E-2</v>
      </c>
      <c r="K199" s="287">
        <f>SUM(I198:I199)</f>
        <v>1.75E-3</v>
      </c>
      <c r="L199" s="287">
        <f>SUM(J198:J199)</f>
        <v>5.5189999999999996E-2</v>
      </c>
      <c r="M199" s="287"/>
    </row>
    <row r="200" spans="1:14" ht="38.25" x14ac:dyDescent="0.25">
      <c r="A200" s="25">
        <v>20</v>
      </c>
      <c r="B200" s="57" t="s">
        <v>617</v>
      </c>
      <c r="C200" s="57" t="s">
        <v>622</v>
      </c>
      <c r="D200" s="478" t="s">
        <v>599</v>
      </c>
      <c r="E200" s="477">
        <v>8760</v>
      </c>
      <c r="F200" s="477" t="s">
        <v>165</v>
      </c>
      <c r="G200" s="57" t="s">
        <v>570</v>
      </c>
      <c r="H200" s="475" t="s">
        <v>571</v>
      </c>
      <c r="I200" s="57">
        <v>2.7999999999999998E-4</v>
      </c>
      <c r="J200" s="57">
        <f>ROUND(3.6*I200*E200/1000,5)</f>
        <v>8.8299999999999993E-3</v>
      </c>
      <c r="K200" s="287">
        <f>I200</f>
        <v>2.7999999999999998E-4</v>
      </c>
      <c r="L200" s="287">
        <f>J200</f>
        <v>8.8299999999999993E-3</v>
      </c>
      <c r="M200" s="287"/>
      <c r="N200" s="62"/>
    </row>
    <row r="201" spans="1:14" ht="38.25" x14ac:dyDescent="0.25">
      <c r="A201" s="25">
        <v>21</v>
      </c>
      <c r="B201" s="57" t="s">
        <v>617</v>
      </c>
      <c r="C201" s="57" t="s">
        <v>624</v>
      </c>
      <c r="D201" s="478" t="s">
        <v>601</v>
      </c>
      <c r="E201" s="477">
        <v>8760</v>
      </c>
      <c r="F201" s="477" t="s">
        <v>1451</v>
      </c>
      <c r="G201" s="57" t="s">
        <v>213</v>
      </c>
      <c r="H201" s="475" t="s">
        <v>62</v>
      </c>
      <c r="I201" s="57">
        <v>4.0000000000000003E-5</v>
      </c>
      <c r="J201" s="57">
        <f>ROUND(3.6*I201*E201/1000,5)</f>
        <v>1.2600000000000001E-3</v>
      </c>
      <c r="K201" s="287">
        <f>I201</f>
        <v>4.0000000000000003E-5</v>
      </c>
      <c r="L201" s="287">
        <f>J201</f>
        <v>1.2600000000000001E-3</v>
      </c>
      <c r="M201" s="287"/>
      <c r="N201" s="62"/>
    </row>
    <row r="202" spans="1:14" ht="35.25" customHeight="1" x14ac:dyDescent="0.25">
      <c r="A202" s="1385">
        <v>22</v>
      </c>
      <c r="B202" s="1387" t="s">
        <v>617</v>
      </c>
      <c r="C202" s="1387" t="s">
        <v>626</v>
      </c>
      <c r="D202" s="1389" t="s">
        <v>604</v>
      </c>
      <c r="E202" s="1391">
        <v>8760</v>
      </c>
      <c r="F202" s="1391" t="s">
        <v>165</v>
      </c>
      <c r="G202" s="57" t="s">
        <v>570</v>
      </c>
      <c r="H202" s="475" t="s">
        <v>571</v>
      </c>
      <c r="I202" s="57">
        <v>1.2E-4</v>
      </c>
      <c r="J202" s="57">
        <f>ROUND(3.6*I202*E202/1000,5)</f>
        <v>3.7799999999999999E-3</v>
      </c>
      <c r="K202" s="287"/>
      <c r="L202" s="287"/>
      <c r="M202" s="287"/>
      <c r="N202" s="62"/>
    </row>
    <row r="203" spans="1:14" ht="39.75" customHeight="1" x14ac:dyDescent="0.25">
      <c r="A203" s="1386"/>
      <c r="B203" s="1388"/>
      <c r="C203" s="1388"/>
      <c r="D203" s="1390"/>
      <c r="E203" s="1390"/>
      <c r="F203" s="1390"/>
      <c r="G203" s="57" t="s">
        <v>573</v>
      </c>
      <c r="H203" s="56" t="s">
        <v>572</v>
      </c>
      <c r="I203" s="57">
        <v>3.0000000000000001E-6</v>
      </c>
      <c r="J203" s="57">
        <f>ROUND(3.6*I203*E202/1000,5)</f>
        <v>9.0000000000000006E-5</v>
      </c>
      <c r="K203" s="287">
        <f>SUM(I202:I203)</f>
        <v>1.2300000000000001E-4</v>
      </c>
      <c r="L203" s="287">
        <f>SUM(J202:J203)</f>
        <v>3.8699999999999997E-3</v>
      </c>
      <c r="M203" s="287"/>
    </row>
    <row r="204" spans="1:14" x14ac:dyDescent="0.25">
      <c r="A204" s="1385">
        <v>23</v>
      </c>
      <c r="B204" s="1387" t="s">
        <v>628</v>
      </c>
      <c r="C204" s="1387" t="s">
        <v>629</v>
      </c>
      <c r="D204" s="1389" t="s">
        <v>606</v>
      </c>
      <c r="E204" s="1391">
        <v>8760</v>
      </c>
      <c r="F204" s="1391" t="s">
        <v>165</v>
      </c>
      <c r="G204" s="57" t="s">
        <v>570</v>
      </c>
      <c r="H204" s="475" t="s">
        <v>571</v>
      </c>
      <c r="I204" s="57">
        <v>5.2999999999999998E-4</v>
      </c>
      <c r="J204" s="57">
        <f>ROUND(3.6*I204*E204/1000,5)</f>
        <v>1.6709999999999999E-2</v>
      </c>
      <c r="K204" s="287"/>
      <c r="L204" s="287"/>
      <c r="M204" s="287"/>
      <c r="N204" s="62"/>
    </row>
    <row r="205" spans="1:14" x14ac:dyDescent="0.25">
      <c r="A205" s="1386"/>
      <c r="B205" s="1388"/>
      <c r="C205" s="1388"/>
      <c r="D205" s="1390"/>
      <c r="E205" s="1390"/>
      <c r="F205" s="1390"/>
      <c r="G205" s="57" t="s">
        <v>250</v>
      </c>
      <c r="H205" s="56" t="s">
        <v>251</v>
      </c>
      <c r="I205" s="57">
        <v>1.0000000000000001E-5</v>
      </c>
      <c r="J205" s="57">
        <f>ROUND(3.6*I205*E204/1000,5)</f>
        <v>3.2000000000000003E-4</v>
      </c>
      <c r="K205" s="287">
        <f>SUM(I204:I205)</f>
        <v>5.4000000000000001E-4</v>
      </c>
      <c r="L205" s="287">
        <f>SUM(J204:J205)</f>
        <v>1.703E-2</v>
      </c>
      <c r="M205" s="287"/>
    </row>
    <row r="206" spans="1:14" x14ac:dyDescent="0.25">
      <c r="A206" s="1385">
        <v>24</v>
      </c>
      <c r="B206" s="1387" t="s">
        <v>631</v>
      </c>
      <c r="C206" s="1387" t="s">
        <v>575</v>
      </c>
      <c r="D206" s="1389" t="s">
        <v>609</v>
      </c>
      <c r="E206" s="1391">
        <v>8760</v>
      </c>
      <c r="F206" s="1391" t="s">
        <v>165</v>
      </c>
      <c r="G206" s="57" t="s">
        <v>570</v>
      </c>
      <c r="H206" s="475" t="s">
        <v>571</v>
      </c>
      <c r="I206" s="57">
        <v>4.0000000000000003E-5</v>
      </c>
      <c r="J206" s="57">
        <f>ROUND(3.6*I206*E206/1000,5)</f>
        <v>1.2600000000000001E-3</v>
      </c>
      <c r="K206" s="287"/>
      <c r="L206" s="287"/>
      <c r="M206" s="287"/>
      <c r="N206" s="62"/>
    </row>
    <row r="207" spans="1:14" x14ac:dyDescent="0.25">
      <c r="A207" s="1386"/>
      <c r="B207" s="1388"/>
      <c r="C207" s="1388"/>
      <c r="D207" s="1390"/>
      <c r="E207" s="1390"/>
      <c r="F207" s="1390"/>
      <c r="G207" s="57" t="s">
        <v>416</v>
      </c>
      <c r="H207" s="475" t="s">
        <v>57</v>
      </c>
      <c r="I207" s="57">
        <v>4.0000000000000003E-5</v>
      </c>
      <c r="J207" s="57">
        <f>ROUND(3.6*I207*E206/1000,5)</f>
        <v>1.2600000000000001E-3</v>
      </c>
      <c r="K207" s="287">
        <f>SUM(I206:I207)</f>
        <v>8.0000000000000007E-5</v>
      </c>
      <c r="L207" s="287">
        <f>SUM(J206:J207)</f>
        <v>2.5200000000000001E-3</v>
      </c>
      <c r="M207" s="287"/>
    </row>
    <row r="208" spans="1:14" ht="38.25" x14ac:dyDescent="0.25">
      <c r="A208" s="25">
        <v>25</v>
      </c>
      <c r="B208" s="57" t="s">
        <v>617</v>
      </c>
      <c r="C208" s="57" t="s">
        <v>633</v>
      </c>
      <c r="D208" s="478" t="s">
        <v>611</v>
      </c>
      <c r="E208" s="477">
        <v>8760</v>
      </c>
      <c r="F208" s="477" t="s">
        <v>165</v>
      </c>
      <c r="G208" s="57" t="s">
        <v>416</v>
      </c>
      <c r="H208" s="475" t="s">
        <v>57</v>
      </c>
      <c r="I208" s="57">
        <v>3.0000000000000001E-5</v>
      </c>
      <c r="J208" s="57">
        <f>ROUND(3.6*I208*E208/1000,5)</f>
        <v>9.5E-4</v>
      </c>
      <c r="K208" s="287">
        <f>I208</f>
        <v>3.0000000000000001E-5</v>
      </c>
      <c r="L208" s="287">
        <f>J208</f>
        <v>9.5E-4</v>
      </c>
      <c r="M208" s="287"/>
      <c r="N208" s="62"/>
    </row>
    <row r="209" spans="1:14" ht="18.75" customHeight="1" x14ac:dyDescent="0.25">
      <c r="A209" s="1385">
        <v>26</v>
      </c>
      <c r="B209" s="1387" t="s">
        <v>635</v>
      </c>
      <c r="C209" s="1387" t="s">
        <v>636</v>
      </c>
      <c r="D209" s="1389" t="s">
        <v>613</v>
      </c>
      <c r="E209" s="1391">
        <v>8760</v>
      </c>
      <c r="F209" s="1391" t="s">
        <v>165</v>
      </c>
      <c r="G209" s="57" t="s">
        <v>570</v>
      </c>
      <c r="H209" s="475" t="s">
        <v>571</v>
      </c>
      <c r="I209" s="57">
        <v>2.5000000000000001E-4</v>
      </c>
      <c r="J209" s="57">
        <f>ROUND(3.6*I209*E209/1000,5)</f>
        <v>7.8799999999999999E-3</v>
      </c>
      <c r="K209" s="287"/>
      <c r="L209" s="287"/>
      <c r="M209" s="287"/>
      <c r="N209" s="62"/>
    </row>
    <row r="210" spans="1:14" ht="23.25" customHeight="1" x14ac:dyDescent="0.25">
      <c r="A210" s="1386"/>
      <c r="B210" s="1388"/>
      <c r="C210" s="1388"/>
      <c r="D210" s="1390"/>
      <c r="E210" s="1390"/>
      <c r="F210" s="1390"/>
      <c r="G210" s="57" t="s">
        <v>573</v>
      </c>
      <c r="H210" s="56" t="s">
        <v>572</v>
      </c>
      <c r="I210" s="57">
        <v>7.5000000000000002E-4</v>
      </c>
      <c r="J210" s="57">
        <f>ROUND(3.6*I210*E209/1000,5)</f>
        <v>2.3650000000000001E-2</v>
      </c>
      <c r="K210" s="287">
        <f>SUM(I209:I210)</f>
        <v>1E-3</v>
      </c>
      <c r="L210" s="287">
        <f>SUM(J209:J210)</f>
        <v>3.1530000000000002E-2</v>
      </c>
      <c r="M210" s="287"/>
    </row>
    <row r="211" spans="1:14" ht="21" customHeight="1" x14ac:dyDescent="0.25">
      <c r="A211" s="1385">
        <v>27</v>
      </c>
      <c r="B211" s="1387" t="s">
        <v>635</v>
      </c>
      <c r="C211" s="1387" t="s">
        <v>638</v>
      </c>
      <c r="D211" s="1389" t="s">
        <v>615</v>
      </c>
      <c r="E211" s="1391">
        <v>8760</v>
      </c>
      <c r="F211" s="1391" t="s">
        <v>1484</v>
      </c>
      <c r="G211" s="57" t="s">
        <v>570</v>
      </c>
      <c r="H211" s="475" t="s">
        <v>571</v>
      </c>
      <c r="I211" s="57">
        <v>1.3999999999999999E-4</v>
      </c>
      <c r="J211" s="57">
        <f>ROUND(3.6*I211*E211/1000,5)</f>
        <v>4.4200000000000003E-3</v>
      </c>
      <c r="K211" s="287"/>
      <c r="L211" s="287"/>
      <c r="M211" s="287"/>
      <c r="N211" s="62"/>
    </row>
    <row r="212" spans="1:14" ht="51" x14ac:dyDescent="0.25">
      <c r="A212" s="1386"/>
      <c r="B212" s="1388"/>
      <c r="C212" s="1388"/>
      <c r="D212" s="1390"/>
      <c r="E212" s="1390"/>
      <c r="F212" s="1390"/>
      <c r="G212" s="57" t="s">
        <v>590</v>
      </c>
      <c r="H212" s="475" t="s">
        <v>591</v>
      </c>
      <c r="I212" s="57">
        <v>2.4000000000000001E-4</v>
      </c>
      <c r="J212" s="57">
        <f>ROUND(3.6*I212*E211/1000,5)</f>
        <v>7.5700000000000003E-3</v>
      </c>
      <c r="K212" s="287"/>
      <c r="L212" s="287"/>
      <c r="M212" s="287"/>
    </row>
    <row r="213" spans="1:14" ht="21.75" customHeight="1" x14ac:dyDescent="0.25">
      <c r="A213" s="1386"/>
      <c r="B213" s="1388"/>
      <c r="C213" s="1388"/>
      <c r="D213" s="1390"/>
      <c r="E213" s="1390"/>
      <c r="F213" s="1390"/>
      <c r="G213" s="57" t="s">
        <v>250</v>
      </c>
      <c r="H213" s="56" t="s">
        <v>251</v>
      </c>
      <c r="I213" s="57">
        <v>1.6000000000000001E-4</v>
      </c>
      <c r="J213" s="57">
        <f>ROUND(3.6*I213*E211/1000,5)</f>
        <v>5.0499999999999998E-3</v>
      </c>
      <c r="K213" s="287">
        <f>SUM(I211:I213)</f>
        <v>5.4000000000000001E-4</v>
      </c>
      <c r="L213" s="287">
        <f>SUM(J211:J213)</f>
        <v>1.704E-2</v>
      </c>
      <c r="M213" s="287"/>
    </row>
    <row r="214" spans="1:14" ht="43.5" customHeight="1" x14ac:dyDescent="0.25">
      <c r="A214" s="1385">
        <v>28</v>
      </c>
      <c r="B214" s="1387" t="s">
        <v>635</v>
      </c>
      <c r="C214" s="1387" t="s">
        <v>640</v>
      </c>
      <c r="D214" s="1389" t="s">
        <v>616</v>
      </c>
      <c r="E214" s="1391">
        <v>8760</v>
      </c>
      <c r="F214" s="1391" t="s">
        <v>165</v>
      </c>
      <c r="G214" s="57" t="s">
        <v>570</v>
      </c>
      <c r="H214" s="475" t="s">
        <v>571</v>
      </c>
      <c r="I214" s="57">
        <v>1.065E-2</v>
      </c>
      <c r="J214" s="57">
        <f>ROUND(3.6*I214*E214/1000,5)</f>
        <v>0.33585999999999999</v>
      </c>
      <c r="K214" s="287"/>
      <c r="L214" s="287"/>
      <c r="M214" s="287"/>
      <c r="N214" s="62"/>
    </row>
    <row r="215" spans="1:14" ht="47.25" customHeight="1" x14ac:dyDescent="0.25">
      <c r="A215" s="1386"/>
      <c r="B215" s="1388"/>
      <c r="C215" s="1388"/>
      <c r="D215" s="1390"/>
      <c r="E215" s="1390"/>
      <c r="F215" s="1390"/>
      <c r="G215" s="57" t="s">
        <v>250</v>
      </c>
      <c r="H215" s="56" t="s">
        <v>251</v>
      </c>
      <c r="I215" s="57">
        <v>2.5559999999999999E-2</v>
      </c>
      <c r="J215" s="57">
        <f>ROUND(3.6*I215*E214/1000,5)</f>
        <v>0.80606</v>
      </c>
      <c r="K215" s="287">
        <f>SUM(I214:I215)</f>
        <v>3.6209999999999999E-2</v>
      </c>
      <c r="L215" s="287">
        <f>SUM(J214:J215)</f>
        <v>1.14192</v>
      </c>
      <c r="M215" s="287"/>
    </row>
    <row r="216" spans="1:14" x14ac:dyDescent="0.25">
      <c r="A216" s="1385">
        <v>29</v>
      </c>
      <c r="B216" s="1387" t="s">
        <v>642</v>
      </c>
      <c r="C216" s="1387" t="s">
        <v>643</v>
      </c>
      <c r="D216" s="1389" t="s">
        <v>619</v>
      </c>
      <c r="E216" s="1391">
        <v>8760</v>
      </c>
      <c r="F216" s="1391" t="s">
        <v>165</v>
      </c>
      <c r="G216" s="57" t="s">
        <v>570</v>
      </c>
      <c r="H216" s="475" t="s">
        <v>571</v>
      </c>
      <c r="I216" s="57">
        <v>2E-3</v>
      </c>
      <c r="J216" s="57">
        <f>ROUND(3.6*I216*E216/1000,5)</f>
        <v>6.3070000000000001E-2</v>
      </c>
      <c r="K216" s="287"/>
      <c r="L216" s="287"/>
      <c r="M216" s="287"/>
      <c r="N216" s="62"/>
    </row>
    <row r="217" spans="1:14" x14ac:dyDescent="0.25">
      <c r="A217" s="1386"/>
      <c r="B217" s="1388"/>
      <c r="C217" s="1388"/>
      <c r="D217" s="1390"/>
      <c r="E217" s="1390"/>
      <c r="F217" s="1390"/>
      <c r="G217" s="57" t="s">
        <v>250</v>
      </c>
      <c r="H217" s="56" t="s">
        <v>251</v>
      </c>
      <c r="I217" s="57">
        <v>4.0000000000000002E-4</v>
      </c>
      <c r="J217" s="57">
        <f>ROUND(3.6*I217*E216/1000,5)</f>
        <v>1.261E-2</v>
      </c>
      <c r="K217" s="287"/>
      <c r="L217" s="287"/>
      <c r="M217" s="287"/>
    </row>
    <row r="218" spans="1:14" x14ac:dyDescent="0.25">
      <c r="A218" s="1386"/>
      <c r="B218" s="1388"/>
      <c r="C218" s="1388"/>
      <c r="D218" s="1390"/>
      <c r="E218" s="1390"/>
      <c r="F218" s="1390"/>
      <c r="G218" s="57" t="s">
        <v>597</v>
      </c>
      <c r="H218" s="56" t="s">
        <v>598</v>
      </c>
      <c r="I218" s="57">
        <v>0.02</v>
      </c>
      <c r="J218" s="57">
        <f>ROUND(3.6*I218*E216/1000,5)</f>
        <v>0.63071999999999995</v>
      </c>
      <c r="K218" s="287">
        <f>SUM(I216:I218)</f>
        <v>2.24E-2</v>
      </c>
      <c r="L218" s="287">
        <f>SUM(J216:J218)</f>
        <v>0.70639999999999992</v>
      </c>
      <c r="M218" s="287"/>
    </row>
    <row r="219" spans="1:14" x14ac:dyDescent="0.25">
      <c r="A219" s="1385">
        <v>30</v>
      </c>
      <c r="B219" s="1387" t="s">
        <v>642</v>
      </c>
      <c r="C219" s="1387" t="s">
        <v>647</v>
      </c>
      <c r="D219" s="1389" t="s">
        <v>621</v>
      </c>
      <c r="E219" s="1391">
        <v>8760</v>
      </c>
      <c r="F219" s="1391" t="s">
        <v>165</v>
      </c>
      <c r="G219" s="57" t="s">
        <v>250</v>
      </c>
      <c r="H219" s="56" t="s">
        <v>251</v>
      </c>
      <c r="I219" s="57">
        <v>0.01</v>
      </c>
      <c r="J219" s="57">
        <f>ROUND(3.6*I219*E219/1000,5)</f>
        <v>0.31535999999999997</v>
      </c>
      <c r="K219" s="287"/>
      <c r="L219" s="287"/>
      <c r="M219" s="287"/>
      <c r="N219" s="62"/>
    </row>
    <row r="220" spans="1:14" x14ac:dyDescent="0.25">
      <c r="A220" s="1386"/>
      <c r="B220" s="1388"/>
      <c r="C220" s="1388"/>
      <c r="D220" s="1390"/>
      <c r="E220" s="1390"/>
      <c r="F220" s="1390"/>
      <c r="G220" s="57" t="s">
        <v>597</v>
      </c>
      <c r="H220" s="56" t="s">
        <v>598</v>
      </c>
      <c r="I220" s="57">
        <v>0.01</v>
      </c>
      <c r="J220" s="57">
        <f>ROUND(3.6*I220*E219/1000,5)</f>
        <v>0.31535999999999997</v>
      </c>
      <c r="K220" s="287">
        <f>SUM(I219:I220)</f>
        <v>0.02</v>
      </c>
      <c r="L220" s="287">
        <f>SUM(J219:J220)</f>
        <v>0.63071999999999995</v>
      </c>
      <c r="M220" s="287"/>
    </row>
    <row r="221" spans="1:14" ht="24" customHeight="1" x14ac:dyDescent="0.25">
      <c r="A221" s="1385">
        <v>31</v>
      </c>
      <c r="B221" s="1387" t="s">
        <v>649</v>
      </c>
      <c r="C221" s="1387" t="s">
        <v>650</v>
      </c>
      <c r="D221" s="1389" t="s">
        <v>623</v>
      </c>
      <c r="E221" s="1391">
        <v>8760</v>
      </c>
      <c r="F221" s="1391" t="s">
        <v>1485</v>
      </c>
      <c r="G221" s="57" t="s">
        <v>420</v>
      </c>
      <c r="H221" s="475" t="s">
        <v>66</v>
      </c>
      <c r="I221" s="57">
        <v>3.0000000000000001E-5</v>
      </c>
      <c r="J221" s="57">
        <f>ROUND(3.6*I221*E221/1000,5)</f>
        <v>9.5E-4</v>
      </c>
      <c r="K221" s="287"/>
      <c r="L221" s="287"/>
      <c r="M221" s="287"/>
      <c r="N221" s="62"/>
    </row>
    <row r="222" spans="1:14" ht="62.25" customHeight="1" x14ac:dyDescent="0.25">
      <c r="A222" s="1386"/>
      <c r="B222" s="1388"/>
      <c r="C222" s="1388"/>
      <c r="D222" s="1390"/>
      <c r="E222" s="1390"/>
      <c r="F222" s="1390"/>
      <c r="G222" s="57" t="s">
        <v>739</v>
      </c>
      <c r="H222" s="475" t="s">
        <v>140</v>
      </c>
      <c r="I222" s="57">
        <v>5.0000000000000002E-5</v>
      </c>
      <c r="J222" s="57">
        <f>ROUND(3.6*I222*E221/1000,5)</f>
        <v>1.58E-3</v>
      </c>
      <c r="K222" s="287">
        <f>SUM(I221:I222)</f>
        <v>8.0000000000000007E-5</v>
      </c>
      <c r="L222" s="287">
        <f>SUM(J221:J222)</f>
        <v>2.5300000000000001E-3</v>
      </c>
      <c r="M222" s="287"/>
    </row>
    <row r="223" spans="1:14" ht="38.25" x14ac:dyDescent="0.25">
      <c r="A223" s="25">
        <v>32</v>
      </c>
      <c r="B223" s="57" t="s">
        <v>652</v>
      </c>
      <c r="C223" s="57" t="s">
        <v>653</v>
      </c>
      <c r="D223" s="478" t="s">
        <v>625</v>
      </c>
      <c r="E223" s="477">
        <v>8760</v>
      </c>
      <c r="F223" s="477" t="s">
        <v>165</v>
      </c>
      <c r="G223" s="57" t="s">
        <v>423</v>
      </c>
      <c r="H223" s="475" t="s">
        <v>424</v>
      </c>
      <c r="I223" s="57">
        <v>7.5000000000000002E-4</v>
      </c>
      <c r="J223" s="57">
        <f>ROUND(3.6*I223*E223/1000,5)</f>
        <v>2.3650000000000001E-2</v>
      </c>
      <c r="K223" s="287">
        <f t="shared" ref="K223:K224" si="10">I223</f>
        <v>7.5000000000000002E-4</v>
      </c>
      <c r="L223" s="287">
        <f t="shared" ref="L223:L224" si="11">J223</f>
        <v>2.3650000000000001E-2</v>
      </c>
      <c r="M223" s="287"/>
      <c r="N223" s="62"/>
    </row>
    <row r="224" spans="1:14" ht="63.75" x14ac:dyDescent="0.25">
      <c r="A224" s="25">
        <v>33</v>
      </c>
      <c r="B224" s="57" t="s">
        <v>655</v>
      </c>
      <c r="C224" s="57" t="s">
        <v>656</v>
      </c>
      <c r="D224" s="478" t="s">
        <v>627</v>
      </c>
      <c r="E224" s="477">
        <v>8760</v>
      </c>
      <c r="F224" s="477" t="s">
        <v>740</v>
      </c>
      <c r="G224" s="57" t="s">
        <v>414</v>
      </c>
      <c r="H224" s="475" t="s">
        <v>415</v>
      </c>
      <c r="I224" s="57">
        <v>5.0000000000000002E-5</v>
      </c>
      <c r="J224" s="57">
        <f>ROUND(3.6*I224*E224/1000,5)</f>
        <v>1.58E-3</v>
      </c>
      <c r="K224" s="287">
        <f t="shared" si="10"/>
        <v>5.0000000000000002E-5</v>
      </c>
      <c r="L224" s="287">
        <f t="shared" si="11"/>
        <v>1.58E-3</v>
      </c>
      <c r="M224" s="287"/>
      <c r="N224" s="62"/>
    </row>
    <row r="225" spans="1:14" x14ac:dyDescent="0.25">
      <c r="A225" s="1385">
        <v>34</v>
      </c>
      <c r="B225" s="1387" t="s">
        <v>655</v>
      </c>
      <c r="C225" s="1387" t="s">
        <v>658</v>
      </c>
      <c r="D225" s="1389" t="s">
        <v>630</v>
      </c>
      <c r="E225" s="1391">
        <v>8760</v>
      </c>
      <c r="F225" s="1391" t="s">
        <v>165</v>
      </c>
      <c r="G225" s="57" t="s">
        <v>570</v>
      </c>
      <c r="H225" s="475" t="s">
        <v>571</v>
      </c>
      <c r="I225" s="57">
        <v>2.0000000000000002E-5</v>
      </c>
      <c r="J225" s="57">
        <f>ROUND(3.6*I225*E225/1000,5)</f>
        <v>6.3000000000000003E-4</v>
      </c>
      <c r="K225" s="287"/>
      <c r="L225" s="287"/>
      <c r="M225" s="287"/>
      <c r="N225" s="62"/>
    </row>
    <row r="226" spans="1:14" ht="63.75" x14ac:dyDescent="0.25">
      <c r="A226" s="1386"/>
      <c r="B226" s="1388"/>
      <c r="C226" s="1388"/>
      <c r="D226" s="1390"/>
      <c r="E226" s="1390"/>
      <c r="F226" s="1390"/>
      <c r="G226" s="57" t="s">
        <v>414</v>
      </c>
      <c r="H226" s="475" t="s">
        <v>415</v>
      </c>
      <c r="I226" s="57">
        <v>2.3999999999999998E-3</v>
      </c>
      <c r="J226" s="57">
        <f>ROUND(3.6*I226*E225/1000,5)</f>
        <v>7.5689999999999993E-2</v>
      </c>
      <c r="K226" s="287">
        <f>SUM(I225:I226)</f>
        <v>2.4199999999999998E-3</v>
      </c>
      <c r="L226" s="287">
        <f>SUM(J225:J226)</f>
        <v>7.6319999999999999E-2</v>
      </c>
      <c r="M226" s="287"/>
    </row>
    <row r="227" spans="1:14" x14ac:dyDescent="0.25">
      <c r="A227" s="1385">
        <v>35</v>
      </c>
      <c r="B227" s="1387" t="s">
        <v>655</v>
      </c>
      <c r="C227" s="1387" t="s">
        <v>660</v>
      </c>
      <c r="D227" s="1389" t="s">
        <v>632</v>
      </c>
      <c r="E227" s="1391">
        <v>8760</v>
      </c>
      <c r="F227" s="1391" t="s">
        <v>165</v>
      </c>
      <c r="G227" s="57" t="s">
        <v>570</v>
      </c>
      <c r="H227" s="475" t="s">
        <v>571</v>
      </c>
      <c r="I227" s="57">
        <v>1.5E-3</v>
      </c>
      <c r="J227" s="57">
        <f>ROUND(3.6*I227*E227/1000,5)</f>
        <v>4.7300000000000002E-2</v>
      </c>
      <c r="K227" s="287"/>
      <c r="L227" s="287"/>
      <c r="M227" s="287"/>
      <c r="N227" s="62"/>
    </row>
    <row r="228" spans="1:14" ht="24.75" customHeight="1" x14ac:dyDescent="0.25">
      <c r="A228" s="1386"/>
      <c r="B228" s="1388"/>
      <c r="C228" s="1388"/>
      <c r="D228" s="1390"/>
      <c r="E228" s="1390"/>
      <c r="F228" s="1390"/>
      <c r="G228" s="57" t="s">
        <v>250</v>
      </c>
      <c r="H228" s="56" t="s">
        <v>251</v>
      </c>
      <c r="I228" s="57">
        <v>4.0000000000000002E-4</v>
      </c>
      <c r="J228" s="57">
        <f>ROUND(3.6*I228*E227/1000,5)</f>
        <v>1.261E-2</v>
      </c>
      <c r="K228" s="287">
        <f>SUM(I227:I228)</f>
        <v>1.9E-3</v>
      </c>
      <c r="L228" s="287">
        <f>SUM(J227:J228)</f>
        <v>5.9910000000000005E-2</v>
      </c>
      <c r="M228" s="287"/>
    </row>
    <row r="229" spans="1:14" ht="38.25" x14ac:dyDescent="0.25">
      <c r="A229" s="25">
        <v>36</v>
      </c>
      <c r="B229" s="57" t="s">
        <v>662</v>
      </c>
      <c r="C229" s="57" t="s">
        <v>663</v>
      </c>
      <c r="D229" s="478" t="s">
        <v>634</v>
      </c>
      <c r="E229" s="477">
        <v>8760</v>
      </c>
      <c r="F229" s="477" t="s">
        <v>165</v>
      </c>
      <c r="G229" s="57" t="s">
        <v>250</v>
      </c>
      <c r="H229" s="56" t="s">
        <v>251</v>
      </c>
      <c r="I229" s="57">
        <v>2.9399999999999999E-3</v>
      </c>
      <c r="J229" s="57">
        <f>ROUND(3.6*I229*E229/1000,5)</f>
        <v>9.2719999999999997E-2</v>
      </c>
      <c r="K229" s="287">
        <f t="shared" ref="K229:L232" si="12">I229</f>
        <v>2.9399999999999999E-3</v>
      </c>
      <c r="L229" s="287">
        <f t="shared" si="12"/>
        <v>9.2719999999999997E-2</v>
      </c>
      <c r="M229" s="287"/>
      <c r="N229" s="62"/>
    </row>
    <row r="230" spans="1:14" ht="45" customHeight="1" x14ac:dyDescent="0.25">
      <c r="A230" s="25">
        <v>37</v>
      </c>
      <c r="B230" s="57" t="s">
        <v>662</v>
      </c>
      <c r="C230" s="57" t="s">
        <v>665</v>
      </c>
      <c r="D230" s="478" t="s">
        <v>637</v>
      </c>
      <c r="E230" s="477">
        <v>8760</v>
      </c>
      <c r="F230" s="477" t="s">
        <v>165</v>
      </c>
      <c r="G230" s="57" t="s">
        <v>250</v>
      </c>
      <c r="H230" s="56" t="s">
        <v>251</v>
      </c>
      <c r="I230" s="57">
        <v>6.9999999999999999E-4</v>
      </c>
      <c r="J230" s="57">
        <f>ROUND(3.6*I230*E230/1000,5)</f>
        <v>2.2079999999999999E-2</v>
      </c>
      <c r="K230" s="287">
        <f t="shared" si="12"/>
        <v>6.9999999999999999E-4</v>
      </c>
      <c r="L230" s="287">
        <f t="shared" si="12"/>
        <v>2.2079999999999999E-2</v>
      </c>
      <c r="M230" s="287"/>
      <c r="N230" s="62"/>
    </row>
    <row r="231" spans="1:14" ht="51" x14ac:dyDescent="0.25">
      <c r="A231" s="25">
        <v>38</v>
      </c>
      <c r="B231" s="57" t="s">
        <v>667</v>
      </c>
      <c r="C231" s="57" t="s">
        <v>751</v>
      </c>
      <c r="D231" s="478" t="s">
        <v>639</v>
      </c>
      <c r="E231" s="477">
        <v>8760</v>
      </c>
      <c r="F231" s="477" t="s">
        <v>1452</v>
      </c>
      <c r="G231" s="57" t="s">
        <v>442</v>
      </c>
      <c r="H231" s="56" t="s">
        <v>441</v>
      </c>
      <c r="I231" s="57">
        <v>3.8000000000000002E-4</v>
      </c>
      <c r="J231" s="57">
        <f>ROUND(3.6*I231*E231/1000,5)</f>
        <v>1.1979999999999999E-2</v>
      </c>
      <c r="K231" s="287">
        <f t="shared" si="12"/>
        <v>3.8000000000000002E-4</v>
      </c>
      <c r="L231" s="287">
        <f t="shared" si="12"/>
        <v>1.1979999999999999E-2</v>
      </c>
      <c r="M231" s="287"/>
      <c r="N231" s="62"/>
    </row>
    <row r="232" spans="1:14" ht="51" x14ac:dyDescent="0.25">
      <c r="A232" s="25">
        <v>39</v>
      </c>
      <c r="B232" s="57" t="s">
        <v>667</v>
      </c>
      <c r="C232" s="57" t="s">
        <v>752</v>
      </c>
      <c r="D232" s="478" t="s">
        <v>641</v>
      </c>
      <c r="E232" s="477">
        <v>8760</v>
      </c>
      <c r="F232" s="477" t="s">
        <v>1452</v>
      </c>
      <c r="G232" s="57" t="s">
        <v>579</v>
      </c>
      <c r="H232" s="56" t="s">
        <v>580</v>
      </c>
      <c r="I232" s="57">
        <v>3.8000000000000002E-4</v>
      </c>
      <c r="J232" s="57">
        <f>ROUND(3.6*I232*E232/1000,5)</f>
        <v>1.1979999999999999E-2</v>
      </c>
      <c r="K232" s="287">
        <f t="shared" si="12"/>
        <v>3.8000000000000002E-4</v>
      </c>
      <c r="L232" s="287">
        <f t="shared" si="12"/>
        <v>1.1979999999999999E-2</v>
      </c>
      <c r="M232" s="284"/>
      <c r="N232" s="62"/>
    </row>
    <row r="233" spans="1:14" ht="23.25" customHeight="1" x14ac:dyDescent="0.25">
      <c r="A233" s="1385">
        <v>40</v>
      </c>
      <c r="B233" s="1387" t="s">
        <v>667</v>
      </c>
      <c r="C233" s="1387" t="s">
        <v>669</v>
      </c>
      <c r="D233" s="1389" t="s">
        <v>644</v>
      </c>
      <c r="E233" s="1391">
        <v>8760</v>
      </c>
      <c r="F233" s="1391" t="s">
        <v>165</v>
      </c>
      <c r="G233" s="57" t="s">
        <v>442</v>
      </c>
      <c r="H233" s="56" t="s">
        <v>441</v>
      </c>
      <c r="I233" s="57">
        <v>7.4999999999999997E-3</v>
      </c>
      <c r="J233" s="57">
        <f>ROUND(3.6*I233*E233/1000,5)</f>
        <v>0.23652000000000001</v>
      </c>
      <c r="K233" s="287"/>
      <c r="L233" s="287"/>
      <c r="M233" s="284"/>
      <c r="N233" s="51"/>
    </row>
    <row r="234" spans="1:14" ht="44.25" customHeight="1" x14ac:dyDescent="0.25">
      <c r="A234" s="1386"/>
      <c r="B234" s="1388"/>
      <c r="C234" s="1388"/>
      <c r="D234" s="1390"/>
      <c r="E234" s="1390"/>
      <c r="F234" s="1390"/>
      <c r="G234" s="57" t="s">
        <v>579</v>
      </c>
      <c r="H234" s="56" t="s">
        <v>580</v>
      </c>
      <c r="I234" s="57">
        <v>1E-3</v>
      </c>
      <c r="J234" s="57">
        <f>ROUND(3.6*I234*E233/1000,5)</f>
        <v>3.1539999999999999E-2</v>
      </c>
      <c r="K234" s="287">
        <f>SUM(I233:I234)</f>
        <v>8.5000000000000006E-3</v>
      </c>
      <c r="L234" s="287">
        <f>SUM(J233:J234)</f>
        <v>0.26806000000000002</v>
      </c>
      <c r="M234" s="284"/>
    </row>
    <row r="235" spans="1:14" ht="21" customHeight="1" x14ac:dyDescent="0.25">
      <c r="A235" s="1385">
        <v>41</v>
      </c>
      <c r="B235" s="1387" t="s">
        <v>667</v>
      </c>
      <c r="C235" s="1387" t="s">
        <v>671</v>
      </c>
      <c r="D235" s="1389" t="s">
        <v>648</v>
      </c>
      <c r="E235" s="1391">
        <v>8760</v>
      </c>
      <c r="F235" s="1391" t="s">
        <v>165</v>
      </c>
      <c r="G235" s="57" t="s">
        <v>570</v>
      </c>
      <c r="H235" s="475" t="s">
        <v>571</v>
      </c>
      <c r="I235" s="57">
        <v>7.2999999999999996E-4</v>
      </c>
      <c r="J235" s="57">
        <f>ROUND(3.6*I235*E235/1000,5)</f>
        <v>2.3019999999999999E-2</v>
      </c>
      <c r="K235" s="287"/>
      <c r="L235" s="287"/>
      <c r="M235" s="284"/>
      <c r="N235" s="51"/>
    </row>
    <row r="236" spans="1:14" ht="30.75" customHeight="1" x14ac:dyDescent="0.25">
      <c r="A236" s="1386"/>
      <c r="B236" s="1388"/>
      <c r="C236" s="1388"/>
      <c r="D236" s="1390"/>
      <c r="E236" s="1390"/>
      <c r="F236" s="1390"/>
      <c r="G236" s="57" t="s">
        <v>573</v>
      </c>
      <c r="H236" s="56" t="s">
        <v>572</v>
      </c>
      <c r="I236" s="57">
        <v>6.0000000000000002E-5</v>
      </c>
      <c r="J236" s="57">
        <f>ROUND(3.6*I236*E235/1000,5)</f>
        <v>1.89E-3</v>
      </c>
      <c r="K236" s="287">
        <f>SUM(I235:I236)</f>
        <v>7.9000000000000001E-4</v>
      </c>
      <c r="L236" s="287">
        <f>SUM(J235:J236)</f>
        <v>2.4909999999999998E-2</v>
      </c>
      <c r="M236" s="284"/>
    </row>
    <row r="237" spans="1:14" ht="45.75" customHeight="1" x14ac:dyDescent="0.25">
      <c r="A237" s="1385">
        <v>42</v>
      </c>
      <c r="B237" s="1387" t="s">
        <v>672</v>
      </c>
      <c r="C237" s="1387" t="s">
        <v>753</v>
      </c>
      <c r="D237" s="1389" t="s">
        <v>651</v>
      </c>
      <c r="E237" s="1391">
        <v>8760</v>
      </c>
      <c r="F237" s="1391" t="s">
        <v>476</v>
      </c>
      <c r="G237" s="57" t="s">
        <v>250</v>
      </c>
      <c r="H237" s="56" t="s">
        <v>251</v>
      </c>
      <c r="I237" s="57">
        <v>7.6999999999999996E-4</v>
      </c>
      <c r="J237" s="57">
        <f>ROUND(3.6*I237*E237/1000,5)</f>
        <v>2.4279999999999999E-2</v>
      </c>
      <c r="K237" s="287"/>
      <c r="L237" s="287"/>
      <c r="M237" s="284"/>
      <c r="N237" s="51"/>
    </row>
    <row r="238" spans="1:14" ht="45.75" customHeight="1" x14ac:dyDescent="0.25">
      <c r="A238" s="1385"/>
      <c r="B238" s="1387"/>
      <c r="C238" s="1387"/>
      <c r="D238" s="1389"/>
      <c r="E238" s="1391"/>
      <c r="F238" s="1391"/>
      <c r="G238" s="57" t="s">
        <v>570</v>
      </c>
      <c r="H238" s="475" t="s">
        <v>571</v>
      </c>
      <c r="I238" s="57">
        <v>9.1E-4</v>
      </c>
      <c r="J238" s="57">
        <f>ROUND(3.6*I238*E237/1000,5)</f>
        <v>2.87E-2</v>
      </c>
      <c r="K238" s="287"/>
      <c r="L238" s="287"/>
      <c r="M238" s="284"/>
    </row>
    <row r="239" spans="1:14" ht="45.75" customHeight="1" x14ac:dyDescent="0.25">
      <c r="A239" s="1386"/>
      <c r="B239" s="1388"/>
      <c r="C239" s="1388"/>
      <c r="D239" s="1390"/>
      <c r="E239" s="1390"/>
      <c r="F239" s="1390"/>
      <c r="G239" s="57" t="s">
        <v>602</v>
      </c>
      <c r="H239" s="475" t="s">
        <v>603</v>
      </c>
      <c r="I239" s="57">
        <v>1.0000000000000001E-5</v>
      </c>
      <c r="J239" s="57">
        <f>ROUND(3.6*I239*E237/1000,5)</f>
        <v>3.2000000000000003E-4</v>
      </c>
      <c r="K239" s="287">
        <f>SUM(I237:I239)</f>
        <v>1.6900000000000001E-3</v>
      </c>
      <c r="L239" s="287">
        <f>SUM(J237:J239)</f>
        <v>5.33E-2</v>
      </c>
      <c r="M239" s="284"/>
    </row>
    <row r="240" spans="1:14" ht="63.75" x14ac:dyDescent="0.25">
      <c r="A240" s="25">
        <v>43</v>
      </c>
      <c r="B240" s="57" t="s">
        <v>674</v>
      </c>
      <c r="C240" s="57" t="s">
        <v>675</v>
      </c>
      <c r="D240" s="478" t="s">
        <v>654</v>
      </c>
      <c r="E240" s="477">
        <v>8760</v>
      </c>
      <c r="F240" s="477" t="s">
        <v>476</v>
      </c>
      <c r="G240" s="57" t="s">
        <v>689</v>
      </c>
      <c r="H240" s="475" t="s">
        <v>690</v>
      </c>
      <c r="I240" s="57">
        <v>5.8E-4</v>
      </c>
      <c r="J240" s="57">
        <f>ROUND(3.6*I240*E240/1000,5)</f>
        <v>1.8290000000000001E-2</v>
      </c>
      <c r="K240" s="287">
        <f t="shared" ref="K240:L242" si="13">I240</f>
        <v>5.8E-4</v>
      </c>
      <c r="L240" s="287">
        <f t="shared" si="13"/>
        <v>1.8290000000000001E-2</v>
      </c>
      <c r="M240" s="284"/>
      <c r="N240" s="51"/>
    </row>
    <row r="241" spans="1:14" ht="63.75" x14ac:dyDescent="0.25">
      <c r="A241" s="25">
        <v>44</v>
      </c>
      <c r="B241" s="57" t="s">
        <v>674</v>
      </c>
      <c r="C241" s="57" t="s">
        <v>677</v>
      </c>
      <c r="D241" s="478" t="s">
        <v>657</v>
      </c>
      <c r="E241" s="477">
        <v>8760</v>
      </c>
      <c r="F241" s="477" t="s">
        <v>476</v>
      </c>
      <c r="G241" s="57" t="s">
        <v>590</v>
      </c>
      <c r="H241" s="475" t="s">
        <v>591</v>
      </c>
      <c r="I241" s="57">
        <v>5.8E-4</v>
      </c>
      <c r="J241" s="57">
        <f>ROUND(3.6*I241*E241/1000,5)</f>
        <v>1.8290000000000001E-2</v>
      </c>
      <c r="K241" s="287">
        <f t="shared" si="13"/>
        <v>5.8E-4</v>
      </c>
      <c r="L241" s="287">
        <f t="shared" si="13"/>
        <v>1.8290000000000001E-2</v>
      </c>
      <c r="M241" s="284"/>
      <c r="N241" s="51"/>
    </row>
    <row r="242" spans="1:14" ht="38.25" x14ac:dyDescent="0.25">
      <c r="A242" s="25">
        <v>45</v>
      </c>
      <c r="B242" s="57" t="s">
        <v>681</v>
      </c>
      <c r="C242" s="57" t="s">
        <v>678</v>
      </c>
      <c r="D242" s="478" t="s">
        <v>659</v>
      </c>
      <c r="E242" s="477">
        <v>8760</v>
      </c>
      <c r="F242" s="477" t="s">
        <v>165</v>
      </c>
      <c r="G242" s="57" t="s">
        <v>422</v>
      </c>
      <c r="H242" s="475" t="s">
        <v>52</v>
      </c>
      <c r="I242" s="57">
        <v>1.056E-2</v>
      </c>
      <c r="J242" s="57">
        <f>ROUND(3.6*I242*E242/1000,5)</f>
        <v>0.33301999999999998</v>
      </c>
      <c r="K242" s="287">
        <f t="shared" si="13"/>
        <v>1.056E-2</v>
      </c>
      <c r="L242" s="287">
        <f t="shared" si="13"/>
        <v>0.33301999999999998</v>
      </c>
      <c r="M242" s="284"/>
      <c r="N242" s="51"/>
    </row>
    <row r="243" spans="1:14" ht="21" customHeight="1" x14ac:dyDescent="0.25">
      <c r="A243" s="1385">
        <v>46</v>
      </c>
      <c r="B243" s="1387" t="s">
        <v>681</v>
      </c>
      <c r="C243" s="1387" t="s">
        <v>680</v>
      </c>
      <c r="D243" s="1389" t="s">
        <v>661</v>
      </c>
      <c r="E243" s="1391">
        <v>8760</v>
      </c>
      <c r="F243" s="1391" t="s">
        <v>165</v>
      </c>
      <c r="G243" s="57" t="s">
        <v>420</v>
      </c>
      <c r="H243" s="475" t="s">
        <v>66</v>
      </c>
      <c r="I243" s="57">
        <v>0.01</v>
      </c>
      <c r="J243" s="57">
        <f>ROUND(3.6*I243*E243/1000,5)</f>
        <v>0.31535999999999997</v>
      </c>
      <c r="K243" s="287"/>
      <c r="L243" s="287"/>
      <c r="M243" s="284"/>
      <c r="N243" s="51"/>
    </row>
    <row r="244" spans="1:14" ht="21" customHeight="1" x14ac:dyDescent="0.25">
      <c r="A244" s="1386"/>
      <c r="B244" s="1388"/>
      <c r="C244" s="1388"/>
      <c r="D244" s="1390"/>
      <c r="E244" s="1390"/>
      <c r="F244" s="1390"/>
      <c r="G244" s="57" t="s">
        <v>423</v>
      </c>
      <c r="H244" s="475" t="s">
        <v>424</v>
      </c>
      <c r="I244" s="57">
        <v>1.06E-3</v>
      </c>
      <c r="J244" s="57">
        <f>ROUND(3.6*I244*E243/1000,5)</f>
        <v>3.3430000000000001E-2</v>
      </c>
      <c r="K244" s="287">
        <f>SUM(I243:I244)</f>
        <v>1.106E-2</v>
      </c>
      <c r="L244" s="287">
        <f>SUM(J243:J244)</f>
        <v>0.34878999999999999</v>
      </c>
      <c r="M244" s="284"/>
    </row>
    <row r="245" spans="1:14" ht="38.25" x14ac:dyDescent="0.25">
      <c r="A245" s="25">
        <v>47</v>
      </c>
      <c r="B245" s="57" t="s">
        <v>681</v>
      </c>
      <c r="C245" s="57" t="s">
        <v>682</v>
      </c>
      <c r="D245" s="478" t="s">
        <v>664</v>
      </c>
      <c r="E245" s="477">
        <v>8760</v>
      </c>
      <c r="F245" s="477" t="s">
        <v>165</v>
      </c>
      <c r="G245" s="57" t="s">
        <v>416</v>
      </c>
      <c r="H245" s="475" t="s">
        <v>57</v>
      </c>
      <c r="I245" s="57">
        <v>0.01</v>
      </c>
      <c r="J245" s="57">
        <f>ROUND(3.6*I245*E245/1000,5)</f>
        <v>0.31535999999999997</v>
      </c>
      <c r="K245" s="287">
        <f t="shared" ref="K245:L247" si="14">I245</f>
        <v>0.01</v>
      </c>
      <c r="L245" s="287">
        <f t="shared" si="14"/>
        <v>0.31535999999999997</v>
      </c>
      <c r="M245" s="284"/>
      <c r="N245" s="51"/>
    </row>
    <row r="246" spans="1:14" ht="51" x14ac:dyDescent="0.25">
      <c r="A246" s="25">
        <v>48</v>
      </c>
      <c r="B246" s="57" t="s">
        <v>684</v>
      </c>
      <c r="C246" s="57" t="s">
        <v>678</v>
      </c>
      <c r="D246" s="478" t="s">
        <v>666</v>
      </c>
      <c r="E246" s="477">
        <v>8760</v>
      </c>
      <c r="F246" s="477" t="s">
        <v>165</v>
      </c>
      <c r="G246" s="57" t="s">
        <v>423</v>
      </c>
      <c r="H246" s="475" t="s">
        <v>424</v>
      </c>
      <c r="I246" s="57">
        <v>2.1099999999999999E-3</v>
      </c>
      <c r="J246" s="57">
        <f>ROUND(3.6*I246*E246/1000,5)</f>
        <v>6.6540000000000002E-2</v>
      </c>
      <c r="K246" s="287">
        <f t="shared" si="14"/>
        <v>2.1099999999999999E-3</v>
      </c>
      <c r="L246" s="287">
        <f t="shared" si="14"/>
        <v>6.6540000000000002E-2</v>
      </c>
      <c r="M246" s="284"/>
      <c r="N246" s="51"/>
    </row>
    <row r="247" spans="1:14" ht="76.5" x14ac:dyDescent="0.25">
      <c r="A247" s="25">
        <v>49</v>
      </c>
      <c r="B247" s="57" t="s">
        <v>754</v>
      </c>
      <c r="C247" s="57" t="s">
        <v>755</v>
      </c>
      <c r="D247" s="478" t="s">
        <v>668</v>
      </c>
      <c r="E247" s="477">
        <v>8760</v>
      </c>
      <c r="F247" s="477" t="s">
        <v>165</v>
      </c>
      <c r="G247" s="57" t="s">
        <v>739</v>
      </c>
      <c r="H247" s="475" t="s">
        <v>140</v>
      </c>
      <c r="I247" s="57">
        <v>4.7499999999999999E-3</v>
      </c>
      <c r="J247" s="57">
        <f>ROUND(3.6*I247*E247/1000,5)</f>
        <v>0.14979999999999999</v>
      </c>
      <c r="K247" s="287">
        <f t="shared" si="14"/>
        <v>4.7499999999999999E-3</v>
      </c>
      <c r="L247" s="287">
        <f t="shared" si="14"/>
        <v>0.14979999999999999</v>
      </c>
      <c r="M247" s="284"/>
      <c r="N247" s="51"/>
    </row>
    <row r="248" spans="1:14" x14ac:dyDescent="0.25">
      <c r="A248" s="1061">
        <v>50</v>
      </c>
      <c r="B248" s="1085" t="s">
        <v>595</v>
      </c>
      <c r="C248" s="1085" t="s">
        <v>744</v>
      </c>
      <c r="D248" s="1383" t="s">
        <v>1173</v>
      </c>
      <c r="E248" s="1292">
        <v>8760</v>
      </c>
      <c r="F248" s="1292" t="s">
        <v>165</v>
      </c>
      <c r="G248" s="57" t="s">
        <v>570</v>
      </c>
      <c r="H248" s="475" t="s">
        <v>571</v>
      </c>
      <c r="I248" s="57">
        <v>1.0000000000000001E-5</v>
      </c>
      <c r="J248" s="57">
        <f>ROUND(3.6*I248*E248/1000,5)</f>
        <v>3.2000000000000003E-4</v>
      </c>
      <c r="K248" s="287"/>
      <c r="L248" s="287"/>
      <c r="M248" s="284"/>
      <c r="N248" s="51"/>
    </row>
    <row r="249" spans="1:14" x14ac:dyDescent="0.25">
      <c r="A249" s="1063"/>
      <c r="B249" s="1339"/>
      <c r="C249" s="1339"/>
      <c r="D249" s="1392"/>
      <c r="E249" s="1394"/>
      <c r="F249" s="1394"/>
      <c r="G249" s="57" t="s">
        <v>250</v>
      </c>
      <c r="H249" s="56" t="s">
        <v>251</v>
      </c>
      <c r="I249" s="57">
        <v>4.0000000000000003E-5</v>
      </c>
      <c r="J249" s="57">
        <f>ROUND(3.6*I249*E248/1000,5)</f>
        <v>1.2600000000000001E-3</v>
      </c>
      <c r="K249" s="287"/>
      <c r="L249" s="287"/>
      <c r="M249" s="284"/>
      <c r="N249" s="51"/>
    </row>
    <row r="250" spans="1:14" x14ac:dyDescent="0.25">
      <c r="A250" s="1062"/>
      <c r="B250" s="1340"/>
      <c r="C250" s="1340"/>
      <c r="D250" s="1393"/>
      <c r="E250" s="1384"/>
      <c r="F250" s="1384"/>
      <c r="G250" s="57" t="s">
        <v>597</v>
      </c>
      <c r="H250" s="56" t="s">
        <v>598</v>
      </c>
      <c r="I250" s="57">
        <v>1.1E-4</v>
      </c>
      <c r="J250" s="57">
        <f>ROUND(3.6*I250*E248/1000,5)</f>
        <v>3.47E-3</v>
      </c>
      <c r="K250" s="287">
        <f>SUM(I248:I250)</f>
        <v>1.6000000000000001E-4</v>
      </c>
      <c r="L250" s="287">
        <f>SUM(J248:J250)</f>
        <v>5.0499999999999998E-3</v>
      </c>
      <c r="M250" s="287"/>
      <c r="N250" s="51"/>
    </row>
    <row r="251" spans="1:14" x14ac:dyDescent="0.25">
      <c r="A251" s="1061">
        <v>51</v>
      </c>
      <c r="B251" s="1085" t="s">
        <v>635</v>
      </c>
      <c r="C251" s="1085" t="s">
        <v>688</v>
      </c>
      <c r="D251" s="1383" t="s">
        <v>670</v>
      </c>
      <c r="E251" s="1292">
        <v>8760</v>
      </c>
      <c r="F251" s="1292" t="s">
        <v>165</v>
      </c>
      <c r="G251" s="57" t="s">
        <v>420</v>
      </c>
      <c r="H251" s="475" t="s">
        <v>66</v>
      </c>
      <c r="I251" s="57">
        <v>2.0250000000000001E-2</v>
      </c>
      <c r="J251" s="57">
        <f>ROUND(3.6*I251*E251/1000,4)</f>
        <v>0.63859999999999995</v>
      </c>
      <c r="K251" s="368"/>
      <c r="L251" s="368"/>
      <c r="M251" s="367"/>
      <c r="N251" s="51"/>
    </row>
    <row r="252" spans="1:14" ht="24.75" customHeight="1" x14ac:dyDescent="0.25">
      <c r="A252" s="1062"/>
      <c r="B252" s="1340"/>
      <c r="C252" s="1340"/>
      <c r="D252" s="1384"/>
      <c r="E252" s="1384"/>
      <c r="F252" s="1384"/>
      <c r="G252" s="57" t="s">
        <v>213</v>
      </c>
      <c r="H252" s="475" t="s">
        <v>62</v>
      </c>
      <c r="I252" s="57">
        <v>6.4999999999999997E-3</v>
      </c>
      <c r="J252" s="57">
        <f>ROUND(3.6*I252*E251/1000,5)</f>
        <v>0.20498</v>
      </c>
      <c r="K252" s="287">
        <f>SUM(I251:I252)</f>
        <v>2.6749999999999999E-2</v>
      </c>
      <c r="L252" s="368">
        <f>SUM(J251:J252)</f>
        <v>0.84358</v>
      </c>
      <c r="M252" s="284"/>
    </row>
    <row r="253" spans="1:14" ht="63.75" x14ac:dyDescent="0.25">
      <c r="A253" s="25">
        <v>52</v>
      </c>
      <c r="B253" s="57" t="s">
        <v>667</v>
      </c>
      <c r="C253" s="57" t="s">
        <v>756</v>
      </c>
      <c r="D253" s="478" t="s">
        <v>274</v>
      </c>
      <c r="E253" s="477">
        <v>8760</v>
      </c>
      <c r="F253" s="477" t="s">
        <v>757</v>
      </c>
      <c r="G253" s="57" t="s">
        <v>442</v>
      </c>
      <c r="H253" s="56" t="s">
        <v>441</v>
      </c>
      <c r="I253" s="57">
        <v>7.7999999999999999E-4</v>
      </c>
      <c r="J253" s="57">
        <f>ROUND(3.6*I253*E253/1000,5)</f>
        <v>2.46E-2</v>
      </c>
      <c r="K253" s="287">
        <f t="shared" ref="K253:K254" si="15">I253</f>
        <v>7.7999999999999999E-4</v>
      </c>
      <c r="L253" s="287">
        <f t="shared" ref="L253:L254" si="16">J253</f>
        <v>2.46E-2</v>
      </c>
      <c r="M253" s="284"/>
      <c r="N253" s="51"/>
    </row>
    <row r="254" spans="1:14" ht="63.75" x14ac:dyDescent="0.25">
      <c r="A254" s="25">
        <v>53</v>
      </c>
      <c r="B254" s="57" t="s">
        <v>667</v>
      </c>
      <c r="C254" s="57" t="s">
        <v>758</v>
      </c>
      <c r="D254" s="478" t="s">
        <v>673</v>
      </c>
      <c r="E254" s="477">
        <v>8760</v>
      </c>
      <c r="F254" s="477" t="s">
        <v>757</v>
      </c>
      <c r="G254" s="57" t="s">
        <v>579</v>
      </c>
      <c r="H254" s="56" t="s">
        <v>580</v>
      </c>
      <c r="I254" s="57">
        <v>2.0000000000000001E-4</v>
      </c>
      <c r="J254" s="57">
        <f>ROUND(3.6*I254*E254/1000,5)</f>
        <v>6.3099999999999996E-3</v>
      </c>
      <c r="K254" s="287">
        <f t="shared" si="15"/>
        <v>2.0000000000000001E-4</v>
      </c>
      <c r="L254" s="287">
        <f t="shared" si="16"/>
        <v>6.3099999999999996E-3</v>
      </c>
      <c r="M254" s="284"/>
      <c r="N254" s="51"/>
    </row>
    <row r="255" spans="1:14" ht="18.75" x14ac:dyDescent="0.3">
      <c r="A255" s="61" t="s">
        <v>438</v>
      </c>
      <c r="K255" s="922">
        <f>SUM(K140:K254)</f>
        <v>0.24318201</v>
      </c>
      <c r="L255" s="922">
        <f>SUM(L139:L254)</f>
        <v>7.5232040000000033</v>
      </c>
    </row>
  </sheetData>
  <mergeCells count="417">
    <mergeCell ref="A1:I1"/>
    <mergeCell ref="A3:J3"/>
    <mergeCell ref="A5:I5"/>
    <mergeCell ref="A9:I9"/>
    <mergeCell ref="A10:I10"/>
    <mergeCell ref="A14:P14"/>
    <mergeCell ref="A15:A16"/>
    <mergeCell ref="B15:B16"/>
    <mergeCell ref="C15:C16"/>
    <mergeCell ref="D15:D16"/>
    <mergeCell ref="E15:E16"/>
    <mergeCell ref="F15:F16"/>
    <mergeCell ref="G15:G16"/>
    <mergeCell ref="H15:H16"/>
    <mergeCell ref="I15:J15"/>
    <mergeCell ref="A12:J12"/>
    <mergeCell ref="A7:J7"/>
    <mergeCell ref="A251:A252"/>
    <mergeCell ref="B251:B252"/>
    <mergeCell ref="C251:C252"/>
    <mergeCell ref="D251:D252"/>
    <mergeCell ref="E251:E252"/>
    <mergeCell ref="F251:F252"/>
    <mergeCell ref="A237:A239"/>
    <mergeCell ref="B237:B239"/>
    <mergeCell ref="C237:C239"/>
    <mergeCell ref="D237:D239"/>
    <mergeCell ref="E237:E239"/>
    <mergeCell ref="F237:F239"/>
    <mergeCell ref="A243:A244"/>
    <mergeCell ref="B243:B244"/>
    <mergeCell ref="C243:C244"/>
    <mergeCell ref="D243:D244"/>
    <mergeCell ref="E243:E244"/>
    <mergeCell ref="F243:F244"/>
    <mergeCell ref="A248:A250"/>
    <mergeCell ref="B248:B250"/>
    <mergeCell ref="C248:C250"/>
    <mergeCell ref="D248:D250"/>
    <mergeCell ref="E248:E250"/>
    <mergeCell ref="F248:F250"/>
    <mergeCell ref="A233:A234"/>
    <mergeCell ref="B233:B234"/>
    <mergeCell ref="C233:C234"/>
    <mergeCell ref="D233:D234"/>
    <mergeCell ref="E233:E234"/>
    <mergeCell ref="F233:F234"/>
    <mergeCell ref="A235:A236"/>
    <mergeCell ref="B235:B236"/>
    <mergeCell ref="C235:C236"/>
    <mergeCell ref="D235:D236"/>
    <mergeCell ref="E235:E236"/>
    <mergeCell ref="F235:F236"/>
    <mergeCell ref="A225:A226"/>
    <mergeCell ref="B225:B226"/>
    <mergeCell ref="C225:C226"/>
    <mergeCell ref="D225:D226"/>
    <mergeCell ref="E225:E226"/>
    <mergeCell ref="F225:F226"/>
    <mergeCell ref="A227:A228"/>
    <mergeCell ref="B227:B228"/>
    <mergeCell ref="C227:C228"/>
    <mergeCell ref="D227:D228"/>
    <mergeCell ref="E227:E228"/>
    <mergeCell ref="F227:F228"/>
    <mergeCell ref="A221:A222"/>
    <mergeCell ref="B221:B222"/>
    <mergeCell ref="C221:C222"/>
    <mergeCell ref="D221:D222"/>
    <mergeCell ref="E221:E222"/>
    <mergeCell ref="F221:F222"/>
    <mergeCell ref="A216:A218"/>
    <mergeCell ref="B216:B218"/>
    <mergeCell ref="C216:C218"/>
    <mergeCell ref="D216:D218"/>
    <mergeCell ref="E216:E218"/>
    <mergeCell ref="F216:F218"/>
    <mergeCell ref="A219:A220"/>
    <mergeCell ref="B219:B220"/>
    <mergeCell ref="C219:C220"/>
    <mergeCell ref="D219:D220"/>
    <mergeCell ref="E219:E220"/>
    <mergeCell ref="F219:F220"/>
    <mergeCell ref="A154:A155"/>
    <mergeCell ref="B154:B155"/>
    <mergeCell ref="C154:C155"/>
    <mergeCell ref="D154:D155"/>
    <mergeCell ref="E154:E155"/>
    <mergeCell ref="F162:F163"/>
    <mergeCell ref="A156:A161"/>
    <mergeCell ref="B156:B161"/>
    <mergeCell ref="C156:C161"/>
    <mergeCell ref="D156:D161"/>
    <mergeCell ref="E156:E161"/>
    <mergeCell ref="F156:F161"/>
    <mergeCell ref="A162:A163"/>
    <mergeCell ref="B162:B163"/>
    <mergeCell ref="C162:C163"/>
    <mergeCell ref="D162:D163"/>
    <mergeCell ref="E162:E163"/>
    <mergeCell ref="B150:B153"/>
    <mergeCell ref="C150:C153"/>
    <mergeCell ref="D150:D153"/>
    <mergeCell ref="E150:E153"/>
    <mergeCell ref="F150:F153"/>
    <mergeCell ref="A146:A149"/>
    <mergeCell ref="B146:B149"/>
    <mergeCell ref="C146:C149"/>
    <mergeCell ref="D146:D149"/>
    <mergeCell ref="F164:F166"/>
    <mergeCell ref="A164:A166"/>
    <mergeCell ref="B164:B166"/>
    <mergeCell ref="C164:C166"/>
    <mergeCell ref="D164:D166"/>
    <mergeCell ref="E164:E166"/>
    <mergeCell ref="A137:J137"/>
    <mergeCell ref="A138:J138"/>
    <mergeCell ref="F139:F143"/>
    <mergeCell ref="A144:A145"/>
    <mergeCell ref="B144:B145"/>
    <mergeCell ref="C144:C145"/>
    <mergeCell ref="D144:D145"/>
    <mergeCell ref="E144:E145"/>
    <mergeCell ref="F144:F145"/>
    <mergeCell ref="A139:A143"/>
    <mergeCell ref="B139:B143"/>
    <mergeCell ref="C139:C143"/>
    <mergeCell ref="D139:D143"/>
    <mergeCell ref="E139:E143"/>
    <mergeCell ref="F154:F155"/>
    <mergeCell ref="E146:E149"/>
    <mergeCell ref="F146:F149"/>
    <mergeCell ref="A150:A153"/>
    <mergeCell ref="F179:F182"/>
    <mergeCell ref="A179:A182"/>
    <mergeCell ref="B179:B182"/>
    <mergeCell ref="C179:C182"/>
    <mergeCell ref="D179:D182"/>
    <mergeCell ref="E179:E182"/>
    <mergeCell ref="F168:F172"/>
    <mergeCell ref="A173:A177"/>
    <mergeCell ref="B173:B177"/>
    <mergeCell ref="C173:C177"/>
    <mergeCell ref="D173:D177"/>
    <mergeCell ref="E173:E177"/>
    <mergeCell ref="F173:F177"/>
    <mergeCell ref="A168:A172"/>
    <mergeCell ref="B168:B172"/>
    <mergeCell ref="C168:C172"/>
    <mergeCell ref="D168:D172"/>
    <mergeCell ref="E168:E172"/>
    <mergeCell ref="A183:A184"/>
    <mergeCell ref="A185:A188"/>
    <mergeCell ref="B185:B188"/>
    <mergeCell ref="C185:C188"/>
    <mergeCell ref="D185:D188"/>
    <mergeCell ref="F183:F184"/>
    <mergeCell ref="E183:E184"/>
    <mergeCell ref="D183:D184"/>
    <mergeCell ref="C183:C184"/>
    <mergeCell ref="B183:B184"/>
    <mergeCell ref="F193:F196"/>
    <mergeCell ref="A193:A196"/>
    <mergeCell ref="B193:B196"/>
    <mergeCell ref="C193:C196"/>
    <mergeCell ref="D193:D196"/>
    <mergeCell ref="E193:E196"/>
    <mergeCell ref="E185:E188"/>
    <mergeCell ref="F185:F188"/>
    <mergeCell ref="A189:A192"/>
    <mergeCell ref="B189:B192"/>
    <mergeCell ref="C189:C192"/>
    <mergeCell ref="D189:D192"/>
    <mergeCell ref="E189:E192"/>
    <mergeCell ref="F189:F192"/>
    <mergeCell ref="A202:A203"/>
    <mergeCell ref="B202:B203"/>
    <mergeCell ref="C202:C203"/>
    <mergeCell ref="D202:D203"/>
    <mergeCell ref="E202:E203"/>
    <mergeCell ref="F202:F203"/>
    <mergeCell ref="F198:F199"/>
    <mergeCell ref="A198:A199"/>
    <mergeCell ref="B198:B199"/>
    <mergeCell ref="C198:C199"/>
    <mergeCell ref="D198:D199"/>
    <mergeCell ref="E198:E199"/>
    <mergeCell ref="F204:F205"/>
    <mergeCell ref="A206:A207"/>
    <mergeCell ref="B206:B207"/>
    <mergeCell ref="C206:C207"/>
    <mergeCell ref="D206:D207"/>
    <mergeCell ref="E206:E207"/>
    <mergeCell ref="F206:F207"/>
    <mergeCell ref="A204:A205"/>
    <mergeCell ref="B204:B205"/>
    <mergeCell ref="C204:C205"/>
    <mergeCell ref="D204:D205"/>
    <mergeCell ref="E204:E205"/>
    <mergeCell ref="A214:A215"/>
    <mergeCell ref="B214:B215"/>
    <mergeCell ref="C214:C215"/>
    <mergeCell ref="D214:D215"/>
    <mergeCell ref="E214:E215"/>
    <mergeCell ref="F214:F215"/>
    <mergeCell ref="A209:A210"/>
    <mergeCell ref="B209:B210"/>
    <mergeCell ref="C209:C210"/>
    <mergeCell ref="D209:D210"/>
    <mergeCell ref="E209:E210"/>
    <mergeCell ref="F209:F210"/>
    <mergeCell ref="A211:A213"/>
    <mergeCell ref="B211:B213"/>
    <mergeCell ref="C211:C213"/>
    <mergeCell ref="D211:D213"/>
    <mergeCell ref="E211:E213"/>
    <mergeCell ref="F211:F213"/>
    <mergeCell ref="A18:J18"/>
    <mergeCell ref="A19:J19"/>
    <mergeCell ref="A20:A24"/>
    <mergeCell ref="B20:B24"/>
    <mergeCell ref="C20:C24"/>
    <mergeCell ref="D20:D24"/>
    <mergeCell ref="E20:E24"/>
    <mergeCell ref="F20:F24"/>
    <mergeCell ref="A25:A26"/>
    <mergeCell ref="B25:B26"/>
    <mergeCell ref="C25:C26"/>
    <mergeCell ref="D25:D26"/>
    <mergeCell ref="E25:E26"/>
    <mergeCell ref="F25:F26"/>
    <mergeCell ref="A27:A30"/>
    <mergeCell ref="B27:B30"/>
    <mergeCell ref="C27:C30"/>
    <mergeCell ref="D27:D30"/>
    <mergeCell ref="E27:E30"/>
    <mergeCell ref="F27:F30"/>
    <mergeCell ref="A31:A34"/>
    <mergeCell ref="B31:B34"/>
    <mergeCell ref="C31:C34"/>
    <mergeCell ref="D31:D34"/>
    <mergeCell ref="E31:E34"/>
    <mergeCell ref="F31:F34"/>
    <mergeCell ref="A35:A36"/>
    <mergeCell ref="B35:B36"/>
    <mergeCell ref="C35:C36"/>
    <mergeCell ref="D35:D36"/>
    <mergeCell ref="E35:E36"/>
    <mergeCell ref="F35:F36"/>
    <mergeCell ref="A37:A42"/>
    <mergeCell ref="B37:B42"/>
    <mergeCell ref="C37:C42"/>
    <mergeCell ref="D37:D42"/>
    <mergeCell ref="E37:E42"/>
    <mergeCell ref="F37:F42"/>
    <mergeCell ref="A43:A44"/>
    <mergeCell ref="B43:B44"/>
    <mergeCell ref="C43:C44"/>
    <mergeCell ref="D43:D44"/>
    <mergeCell ref="E43:E44"/>
    <mergeCell ref="F43:F44"/>
    <mergeCell ref="A45:A47"/>
    <mergeCell ref="B45:B47"/>
    <mergeCell ref="C45:C47"/>
    <mergeCell ref="D45:D47"/>
    <mergeCell ref="E45:E47"/>
    <mergeCell ref="F45:F47"/>
    <mergeCell ref="A49:A53"/>
    <mergeCell ref="B49:B53"/>
    <mergeCell ref="C49:C53"/>
    <mergeCell ref="D49:D53"/>
    <mergeCell ref="E49:E53"/>
    <mergeCell ref="F49:F53"/>
    <mergeCell ref="A54:A58"/>
    <mergeCell ref="B54:B58"/>
    <mergeCell ref="C54:C58"/>
    <mergeCell ref="D54:D58"/>
    <mergeCell ref="E54:E58"/>
    <mergeCell ref="F54:F58"/>
    <mergeCell ref="A60:A63"/>
    <mergeCell ref="B60:B63"/>
    <mergeCell ref="C60:C63"/>
    <mergeCell ref="D60:D63"/>
    <mergeCell ref="E60:E63"/>
    <mergeCell ref="F60:F63"/>
    <mergeCell ref="A64:A65"/>
    <mergeCell ref="B64:B65"/>
    <mergeCell ref="C64:C65"/>
    <mergeCell ref="D64:D65"/>
    <mergeCell ref="E64:E65"/>
    <mergeCell ref="F64:F65"/>
    <mergeCell ref="A66:A69"/>
    <mergeCell ref="B66:B69"/>
    <mergeCell ref="C66:C69"/>
    <mergeCell ref="D66:D69"/>
    <mergeCell ref="E66:E69"/>
    <mergeCell ref="F66:F69"/>
    <mergeCell ref="A70:A73"/>
    <mergeCell ref="B70:B73"/>
    <mergeCell ref="C70:C73"/>
    <mergeCell ref="D70:D73"/>
    <mergeCell ref="E70:E73"/>
    <mergeCell ref="F70:F73"/>
    <mergeCell ref="A74:A77"/>
    <mergeCell ref="B74:B77"/>
    <mergeCell ref="C74:C77"/>
    <mergeCell ref="D74:D77"/>
    <mergeCell ref="E74:E77"/>
    <mergeCell ref="F74:F77"/>
    <mergeCell ref="A79:A80"/>
    <mergeCell ref="B79:B80"/>
    <mergeCell ref="C79:C80"/>
    <mergeCell ref="D79:D80"/>
    <mergeCell ref="E79:E80"/>
    <mergeCell ref="F79:F80"/>
    <mergeCell ref="A83:A84"/>
    <mergeCell ref="B83:B84"/>
    <mergeCell ref="C83:C84"/>
    <mergeCell ref="D83:D84"/>
    <mergeCell ref="E83:E84"/>
    <mergeCell ref="F83:F84"/>
    <mergeCell ref="A85:A86"/>
    <mergeCell ref="B85:B86"/>
    <mergeCell ref="C85:C86"/>
    <mergeCell ref="D85:D86"/>
    <mergeCell ref="E85:E86"/>
    <mergeCell ref="F85:F86"/>
    <mergeCell ref="A87:A88"/>
    <mergeCell ref="B87:B88"/>
    <mergeCell ref="C87:C88"/>
    <mergeCell ref="D87:D88"/>
    <mergeCell ref="E87:E88"/>
    <mergeCell ref="F87:F88"/>
    <mergeCell ref="A90:A91"/>
    <mergeCell ref="B90:B91"/>
    <mergeCell ref="C90:C91"/>
    <mergeCell ref="D90:D91"/>
    <mergeCell ref="E90:E91"/>
    <mergeCell ref="F90:F91"/>
    <mergeCell ref="A92:A94"/>
    <mergeCell ref="B92:B94"/>
    <mergeCell ref="C92:C94"/>
    <mergeCell ref="D92:D94"/>
    <mergeCell ref="E92:E94"/>
    <mergeCell ref="F92:F94"/>
    <mergeCell ref="A95:A96"/>
    <mergeCell ref="B95:B96"/>
    <mergeCell ref="C95:C96"/>
    <mergeCell ref="D95:D96"/>
    <mergeCell ref="E95:E96"/>
    <mergeCell ref="F95:F96"/>
    <mergeCell ref="A97:A99"/>
    <mergeCell ref="B97:B99"/>
    <mergeCell ref="C97:C99"/>
    <mergeCell ref="D97:D99"/>
    <mergeCell ref="E97:E99"/>
    <mergeCell ref="F97:F99"/>
    <mergeCell ref="A100:A101"/>
    <mergeCell ref="B100:B101"/>
    <mergeCell ref="C100:C101"/>
    <mergeCell ref="D100:D101"/>
    <mergeCell ref="E100:E101"/>
    <mergeCell ref="F100:F101"/>
    <mergeCell ref="A102:A103"/>
    <mergeCell ref="B102:B103"/>
    <mergeCell ref="C102:C103"/>
    <mergeCell ref="D102:D103"/>
    <mergeCell ref="E102:E103"/>
    <mergeCell ref="F102:F103"/>
    <mergeCell ref="A106:A107"/>
    <mergeCell ref="B106:B107"/>
    <mergeCell ref="C106:C107"/>
    <mergeCell ref="D106:D107"/>
    <mergeCell ref="E106:E107"/>
    <mergeCell ref="F106:F107"/>
    <mergeCell ref="A108:A109"/>
    <mergeCell ref="B108:B109"/>
    <mergeCell ref="C108:C109"/>
    <mergeCell ref="D108:D109"/>
    <mergeCell ref="E108:E109"/>
    <mergeCell ref="F108:F109"/>
    <mergeCell ref="A114:A115"/>
    <mergeCell ref="B114:B115"/>
    <mergeCell ref="C114:C115"/>
    <mergeCell ref="D114:D115"/>
    <mergeCell ref="E114:E115"/>
    <mergeCell ref="F114:F115"/>
    <mergeCell ref="A116:A117"/>
    <mergeCell ref="B116:B117"/>
    <mergeCell ref="C116:C117"/>
    <mergeCell ref="D116:D117"/>
    <mergeCell ref="E116:E117"/>
    <mergeCell ref="F116:F117"/>
    <mergeCell ref="A118:A120"/>
    <mergeCell ref="B118:B120"/>
    <mergeCell ref="C118:C120"/>
    <mergeCell ref="D118:D120"/>
    <mergeCell ref="E118:E120"/>
    <mergeCell ref="F118:F120"/>
    <mergeCell ref="A132:A133"/>
    <mergeCell ref="B132:B133"/>
    <mergeCell ref="C132:C133"/>
    <mergeCell ref="D132:D133"/>
    <mergeCell ref="E132:E133"/>
    <mergeCell ref="F132:F133"/>
    <mergeCell ref="A124:A125"/>
    <mergeCell ref="B124:B125"/>
    <mergeCell ref="C124:C125"/>
    <mergeCell ref="D124:D125"/>
    <mergeCell ref="E124:E125"/>
    <mergeCell ref="F124:F125"/>
    <mergeCell ref="A129:A131"/>
    <mergeCell ref="B129:B131"/>
    <mergeCell ref="C129:C131"/>
    <mergeCell ref="D129:D131"/>
    <mergeCell ref="E129:E131"/>
    <mergeCell ref="F129:F131"/>
  </mergeCells>
  <pageMargins left="0.31496062992125984" right="0.31496062992125984" top="0.78740157480314965" bottom="0.39370078740157483" header="0.31496062992125984" footer="0.19685039370078741"/>
  <pageSetup paperSize="9" firstPageNumber="53" orientation="landscape" useFirstPageNumber="1" r:id="rId1"/>
  <headerFooter>
    <oddFooter>&amp;R&amp;P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71"/>
  <sheetViews>
    <sheetView view="pageBreakPreview" topLeftCell="A61" zoomScaleNormal="100" zoomScaleSheetLayoutView="100" workbookViewId="0">
      <selection activeCell="M63" sqref="M63:M69"/>
    </sheetView>
  </sheetViews>
  <sheetFormatPr defaultRowHeight="15" x14ac:dyDescent="0.25"/>
  <cols>
    <col min="1" max="1" width="5.42578125" customWidth="1"/>
    <col min="2" max="2" width="24.140625" customWidth="1"/>
    <col min="3" max="3" width="39" style="737" customWidth="1"/>
    <col min="4" max="4" width="7.42578125" style="124" customWidth="1"/>
    <col min="5" max="5" width="8.42578125" customWidth="1"/>
    <col min="6" max="6" width="10.140625" customWidth="1"/>
    <col min="7" max="7" width="15.85546875" customWidth="1"/>
    <col min="8" max="8" width="7.85546875" customWidth="1"/>
    <col min="9" max="10" width="11" customWidth="1"/>
    <col min="11" max="12" width="14.85546875" customWidth="1"/>
  </cols>
  <sheetData>
    <row r="1" spans="1:26" s="370" customFormat="1" ht="18" customHeight="1" x14ac:dyDescent="0.25">
      <c r="A1" s="1379" t="s">
        <v>1112</v>
      </c>
      <c r="B1" s="1379"/>
      <c r="C1" s="1379"/>
      <c r="D1" s="1379"/>
      <c r="E1" s="1379"/>
      <c r="F1" s="1379"/>
      <c r="G1" s="1379"/>
      <c r="H1" s="1379"/>
      <c r="I1" s="1379"/>
      <c r="K1" s="268"/>
      <c r="L1" s="268"/>
      <c r="M1" s="268"/>
    </row>
    <row r="2" spans="1:26" s="370" customFormat="1" ht="9.75" customHeight="1" x14ac:dyDescent="0.25">
      <c r="A2" s="371"/>
      <c r="B2" s="371"/>
      <c r="C2" s="371"/>
      <c r="D2" s="372"/>
      <c r="E2" s="371"/>
      <c r="F2" s="371"/>
      <c r="G2" s="371"/>
      <c r="H2" s="373"/>
      <c r="I2" s="373"/>
      <c r="K2" s="268"/>
      <c r="L2" s="268"/>
      <c r="M2" s="268"/>
    </row>
    <row r="3" spans="1:26" s="370" customFormat="1" ht="39" customHeight="1" x14ac:dyDescent="0.25">
      <c r="A3" s="1380" t="s">
        <v>982</v>
      </c>
      <c r="B3" s="1380"/>
      <c r="C3" s="1380"/>
      <c r="D3" s="1380"/>
      <c r="E3" s="1380"/>
      <c r="F3" s="1380"/>
      <c r="G3" s="1380"/>
      <c r="H3" s="1380"/>
      <c r="I3" s="1380"/>
      <c r="J3" s="1380"/>
      <c r="K3" s="183"/>
      <c r="L3" s="183"/>
      <c r="M3" s="183"/>
      <c r="N3" s="202"/>
      <c r="O3" s="202"/>
    </row>
    <row r="4" spans="1:26" s="370" customFormat="1" ht="7.5" customHeight="1" x14ac:dyDescent="0.25">
      <c r="A4" s="374"/>
      <c r="B4" s="374"/>
      <c r="C4" s="374"/>
      <c r="D4" s="323"/>
      <c r="E4" s="374"/>
      <c r="F4" s="374"/>
      <c r="G4" s="374"/>
      <c r="H4" s="375"/>
      <c r="I4" s="375"/>
      <c r="K4" s="268"/>
      <c r="L4" s="268"/>
      <c r="M4" s="268"/>
    </row>
    <row r="5" spans="1:26" s="376" customFormat="1" ht="18.75" customHeight="1" x14ac:dyDescent="0.25">
      <c r="A5" s="1380" t="s">
        <v>974</v>
      </c>
      <c r="B5" s="1380"/>
      <c r="C5" s="1380"/>
      <c r="D5" s="1380"/>
      <c r="E5" s="1380"/>
      <c r="F5" s="1380"/>
      <c r="G5" s="1380"/>
      <c r="H5" s="1380"/>
      <c r="I5" s="1380"/>
      <c r="K5" s="266"/>
      <c r="L5" s="266"/>
      <c r="M5" s="266"/>
    </row>
    <row r="6" spans="1:26" s="376" customFormat="1" ht="9.75" customHeight="1" x14ac:dyDescent="0.25">
      <c r="A6" s="202"/>
      <c r="B6" s="202"/>
      <c r="C6" s="202"/>
      <c r="D6" s="202"/>
      <c r="E6" s="202"/>
      <c r="F6" s="202"/>
      <c r="G6" s="202"/>
      <c r="H6" s="202"/>
      <c r="I6" s="202"/>
      <c r="K6" s="266"/>
      <c r="L6" s="266"/>
      <c r="M6" s="266"/>
    </row>
    <row r="7" spans="1:26" s="376" customFormat="1" ht="18.75" customHeight="1" x14ac:dyDescent="0.25">
      <c r="A7" s="1381" t="s">
        <v>975</v>
      </c>
      <c r="B7" s="1381"/>
      <c r="C7" s="1381"/>
      <c r="D7" s="1381"/>
      <c r="E7" s="1381"/>
      <c r="F7" s="1381"/>
      <c r="G7" s="1381"/>
      <c r="H7" s="1381"/>
      <c r="I7" s="1381"/>
      <c r="K7" s="266"/>
      <c r="L7" s="266"/>
      <c r="M7" s="266"/>
    </row>
    <row r="8" spans="1:26" s="370" customFormat="1" ht="8.25" customHeight="1" x14ac:dyDescent="0.25">
      <c r="A8" s="371"/>
      <c r="B8" s="371"/>
      <c r="C8" s="371"/>
      <c r="D8" s="372"/>
      <c r="E8" s="371"/>
      <c r="F8" s="371"/>
      <c r="G8" s="371"/>
      <c r="H8" s="373"/>
      <c r="I8" s="373"/>
      <c r="K8" s="268"/>
      <c r="L8" s="268"/>
      <c r="M8" s="268"/>
    </row>
    <row r="9" spans="1:26" s="370" customFormat="1" ht="13.5" customHeight="1" x14ac:dyDescent="0.25">
      <c r="A9" s="1382" t="s">
        <v>976</v>
      </c>
      <c r="B9" s="1382"/>
      <c r="C9" s="1382"/>
      <c r="D9" s="1382"/>
      <c r="E9" s="1382"/>
      <c r="F9" s="1382"/>
      <c r="G9" s="1382"/>
      <c r="H9" s="1382"/>
      <c r="I9" s="1382"/>
      <c r="K9" s="268"/>
      <c r="L9" s="268"/>
      <c r="M9" s="268"/>
    </row>
    <row r="10" spans="1:26" s="370" customFormat="1" ht="14.25" customHeight="1" x14ac:dyDescent="0.25">
      <c r="A10" s="1382" t="s">
        <v>977</v>
      </c>
      <c r="B10" s="1382"/>
      <c r="C10" s="1382"/>
      <c r="D10" s="1382"/>
      <c r="E10" s="1382"/>
      <c r="F10" s="1382"/>
      <c r="G10" s="1382"/>
      <c r="H10" s="1382"/>
      <c r="I10" s="1382"/>
      <c r="K10" s="268"/>
      <c r="L10" s="268"/>
      <c r="M10" s="268"/>
    </row>
    <row r="11" spans="1:26" s="370" customFormat="1" ht="14.25" customHeight="1" x14ac:dyDescent="0.25">
      <c r="A11" s="374"/>
      <c r="B11" s="374"/>
      <c r="C11" s="374"/>
      <c r="D11" s="374"/>
      <c r="E11" s="374"/>
      <c r="F11" s="374"/>
      <c r="G11" s="374"/>
      <c r="H11" s="374"/>
      <c r="I11" s="374"/>
      <c r="K11" s="268"/>
      <c r="L11" s="268"/>
      <c r="M11" s="268"/>
    </row>
    <row r="12" spans="1:26" s="459" customFormat="1" ht="17.25" customHeight="1" x14ac:dyDescent="0.3">
      <c r="A12" s="1041" t="s">
        <v>1113</v>
      </c>
      <c r="B12" s="1041"/>
      <c r="C12" s="1041"/>
      <c r="D12" s="1041"/>
      <c r="E12" s="1041"/>
      <c r="F12" s="1041"/>
      <c r="G12" s="1041"/>
      <c r="H12" s="1041"/>
      <c r="I12" s="1041"/>
      <c r="J12" s="1041"/>
      <c r="K12" s="196"/>
      <c r="L12" s="196"/>
      <c r="M12" s="196"/>
      <c r="N12" s="204"/>
      <c r="O12" s="204"/>
      <c r="P12" s="204"/>
      <c r="Q12" s="204"/>
      <c r="R12" s="204"/>
      <c r="S12" s="204"/>
      <c r="T12" s="204"/>
      <c r="U12" s="204"/>
    </row>
    <row r="13" spans="1:26" s="370" customFormat="1" ht="14.25" customHeight="1" x14ac:dyDescent="0.25">
      <c r="A13" s="374"/>
      <c r="B13" s="374"/>
      <c r="C13" s="374"/>
      <c r="D13" s="323"/>
      <c r="E13" s="374"/>
      <c r="F13" s="374"/>
      <c r="G13" s="374"/>
      <c r="H13" s="375"/>
      <c r="I13" s="375"/>
      <c r="K13" s="268"/>
      <c r="L13" s="268"/>
      <c r="M13" s="268"/>
    </row>
    <row r="14" spans="1:26" s="281" customFormat="1" ht="18" customHeight="1" x14ac:dyDescent="0.3">
      <c r="A14" s="1041" t="s">
        <v>985</v>
      </c>
      <c r="B14" s="1041"/>
      <c r="C14" s="1041"/>
      <c r="D14" s="1041"/>
      <c r="E14" s="1041"/>
      <c r="F14" s="1041"/>
      <c r="G14" s="1041"/>
      <c r="H14" s="1041"/>
      <c r="I14" s="1041"/>
      <c r="J14" s="1041"/>
      <c r="K14" s="1041"/>
      <c r="L14" s="1041"/>
      <c r="M14" s="1041"/>
      <c r="N14" s="1041"/>
      <c r="O14" s="1041"/>
      <c r="P14" s="1041"/>
      <c r="Q14" s="1041"/>
      <c r="R14" s="1041"/>
      <c r="S14" s="204"/>
      <c r="T14" s="194"/>
      <c r="U14" s="194"/>
      <c r="V14" s="194"/>
      <c r="W14" s="194"/>
      <c r="X14" s="194"/>
      <c r="Y14" s="194"/>
      <c r="Z14" s="194"/>
    </row>
    <row r="15" spans="1:26" ht="27" customHeight="1" x14ac:dyDescent="0.25">
      <c r="A15" s="1385" t="s">
        <v>409</v>
      </c>
      <c r="B15" s="1385" t="s">
        <v>418</v>
      </c>
      <c r="C15" s="1417" t="s">
        <v>410</v>
      </c>
      <c r="D15" s="1362" t="s">
        <v>159</v>
      </c>
      <c r="E15" s="1385" t="s">
        <v>223</v>
      </c>
      <c r="F15" s="1385" t="s">
        <v>411</v>
      </c>
      <c r="G15" s="1385" t="s">
        <v>412</v>
      </c>
      <c r="H15" s="1385" t="s">
        <v>21</v>
      </c>
      <c r="I15" s="1385" t="s">
        <v>413</v>
      </c>
      <c r="J15" s="1385"/>
      <c r="K15" s="287"/>
      <c r="L15" s="287"/>
    </row>
    <row r="16" spans="1:26" ht="22.5" customHeight="1" x14ac:dyDescent="0.25">
      <c r="A16" s="1385"/>
      <c r="B16" s="1385"/>
      <c r="C16" s="1417"/>
      <c r="D16" s="1362"/>
      <c r="E16" s="1385"/>
      <c r="F16" s="1385"/>
      <c r="G16" s="1385"/>
      <c r="H16" s="1385"/>
      <c r="I16" s="25" t="s">
        <v>440</v>
      </c>
      <c r="J16" s="25" t="s">
        <v>19</v>
      </c>
      <c r="K16" s="287"/>
      <c r="L16" s="287"/>
    </row>
    <row r="17" spans="1:12" ht="16.5" customHeight="1" x14ac:dyDescent="0.25">
      <c r="A17" s="25">
        <v>1</v>
      </c>
      <c r="B17" s="25">
        <v>2</v>
      </c>
      <c r="C17" s="42">
        <v>3</v>
      </c>
      <c r="D17" s="19">
        <v>4</v>
      </c>
      <c r="E17" s="25">
        <v>5</v>
      </c>
      <c r="F17" s="25">
        <v>6</v>
      </c>
      <c r="G17" s="25">
        <v>7</v>
      </c>
      <c r="H17" s="25">
        <v>8</v>
      </c>
      <c r="I17" s="25">
        <v>9</v>
      </c>
      <c r="J17" s="25">
        <v>10</v>
      </c>
      <c r="K17" s="287"/>
      <c r="L17" s="287"/>
    </row>
    <row r="18" spans="1:12" s="322" customFormat="1" ht="15.75" x14ac:dyDescent="0.25">
      <c r="A18" s="1374" t="s">
        <v>1153</v>
      </c>
      <c r="B18" s="1375"/>
      <c r="C18" s="1375"/>
      <c r="D18" s="1375"/>
      <c r="E18" s="1375"/>
      <c r="F18" s="1375"/>
      <c r="G18" s="1375"/>
      <c r="H18" s="1375"/>
      <c r="I18" s="1375"/>
      <c r="J18" s="1376"/>
      <c r="K18" s="734"/>
      <c r="L18" s="734"/>
    </row>
    <row r="19" spans="1:12" s="322" customFormat="1" ht="15.75" x14ac:dyDescent="0.25">
      <c r="A19" s="1414" t="s">
        <v>499</v>
      </c>
      <c r="B19" s="1415"/>
      <c r="C19" s="1415"/>
      <c r="D19" s="1415"/>
      <c r="E19" s="1415"/>
      <c r="F19" s="1415"/>
      <c r="G19" s="1415"/>
      <c r="H19" s="1415"/>
      <c r="I19" s="1415"/>
      <c r="J19" s="1416"/>
      <c r="K19" s="735"/>
      <c r="L19" s="735"/>
    </row>
    <row r="20" spans="1:12" ht="39.950000000000003" customHeight="1" x14ac:dyDescent="0.25">
      <c r="A20" s="18">
        <v>1</v>
      </c>
      <c r="B20" s="18" t="s">
        <v>477</v>
      </c>
      <c r="C20" s="30" t="s">
        <v>478</v>
      </c>
      <c r="D20" s="1" t="s">
        <v>721</v>
      </c>
      <c r="E20" s="18">
        <v>2190</v>
      </c>
      <c r="F20" s="18" t="s">
        <v>165</v>
      </c>
      <c r="G20" s="21" t="s">
        <v>423</v>
      </c>
      <c r="H20" s="154" t="s">
        <v>424</v>
      </c>
      <c r="I20" s="19">
        <v>4.0000000000000003E-5</v>
      </c>
      <c r="J20" s="19">
        <f t="shared" ref="J20:J36" si="0">ROUND(3.6*I20*E20/1000,5)</f>
        <v>3.2000000000000003E-4</v>
      </c>
      <c r="K20" s="287"/>
      <c r="L20" s="287"/>
    </row>
    <row r="21" spans="1:12" ht="39.950000000000003" customHeight="1" x14ac:dyDescent="0.25">
      <c r="A21" s="18">
        <v>2</v>
      </c>
      <c r="B21" s="18" t="s">
        <v>480</v>
      </c>
      <c r="C21" s="30" t="s">
        <v>478</v>
      </c>
      <c r="D21" s="1" t="s">
        <v>722</v>
      </c>
      <c r="E21" s="18">
        <v>2190</v>
      </c>
      <c r="F21" s="18" t="s">
        <v>165</v>
      </c>
      <c r="G21" s="21" t="s">
        <v>423</v>
      </c>
      <c r="H21" s="154" t="s">
        <v>424</v>
      </c>
      <c r="I21" s="19">
        <v>2.0000000000000002E-5</v>
      </c>
      <c r="J21" s="19">
        <f t="shared" si="0"/>
        <v>1.6000000000000001E-4</v>
      </c>
      <c r="K21" s="287"/>
      <c r="L21" s="287"/>
    </row>
    <row r="22" spans="1:12" ht="39.950000000000003" customHeight="1" x14ac:dyDescent="0.25">
      <c r="A22" s="18">
        <v>3</v>
      </c>
      <c r="B22" s="18" t="s">
        <v>480</v>
      </c>
      <c r="C22" s="30" t="s">
        <v>478</v>
      </c>
      <c r="D22" s="1" t="s">
        <v>723</v>
      </c>
      <c r="E22" s="18">
        <v>2190</v>
      </c>
      <c r="F22" s="18" t="s">
        <v>165</v>
      </c>
      <c r="G22" s="21" t="s">
        <v>423</v>
      </c>
      <c r="H22" s="154" t="s">
        <v>424</v>
      </c>
      <c r="I22" s="19">
        <v>2.0000000000000002E-5</v>
      </c>
      <c r="J22" s="19">
        <f t="shared" si="0"/>
        <v>1.6000000000000001E-4</v>
      </c>
      <c r="K22" s="287"/>
      <c r="L22" s="287"/>
    </row>
    <row r="23" spans="1:12" ht="39.950000000000003" customHeight="1" x14ac:dyDescent="0.25">
      <c r="A23" s="18">
        <v>4</v>
      </c>
      <c r="B23" s="18" t="s">
        <v>477</v>
      </c>
      <c r="C23" s="30" t="s">
        <v>478</v>
      </c>
      <c r="D23" s="1" t="s">
        <v>724</v>
      </c>
      <c r="E23" s="18">
        <v>2190</v>
      </c>
      <c r="F23" s="18" t="s">
        <v>165</v>
      </c>
      <c r="G23" s="21" t="s">
        <v>423</v>
      </c>
      <c r="H23" s="154" t="s">
        <v>424</v>
      </c>
      <c r="I23" s="19">
        <v>2.0000000000000002E-5</v>
      </c>
      <c r="J23" s="19">
        <f t="shared" si="0"/>
        <v>1.6000000000000001E-4</v>
      </c>
      <c r="K23" s="287"/>
      <c r="L23" s="287"/>
    </row>
    <row r="24" spans="1:12" ht="39.950000000000003" customHeight="1" x14ac:dyDescent="0.25">
      <c r="A24" s="18">
        <v>5</v>
      </c>
      <c r="B24" s="18" t="s">
        <v>477</v>
      </c>
      <c r="C24" s="30" t="s">
        <v>478</v>
      </c>
      <c r="D24" s="1" t="s">
        <v>497</v>
      </c>
      <c r="E24" s="18">
        <v>1038</v>
      </c>
      <c r="F24" s="18" t="s">
        <v>165</v>
      </c>
      <c r="G24" s="21" t="s">
        <v>423</v>
      </c>
      <c r="H24" s="154" t="s">
        <v>424</v>
      </c>
      <c r="I24" s="19">
        <v>1.0000000000000001E-5</v>
      </c>
      <c r="J24" s="19">
        <f t="shared" si="0"/>
        <v>4.0000000000000003E-5</v>
      </c>
      <c r="K24" s="287"/>
      <c r="L24" s="287"/>
    </row>
    <row r="25" spans="1:12" ht="39.950000000000003" customHeight="1" x14ac:dyDescent="0.25">
      <c r="A25" s="18">
        <v>6</v>
      </c>
      <c r="B25" s="18" t="s">
        <v>477</v>
      </c>
      <c r="C25" s="30" t="s">
        <v>478</v>
      </c>
      <c r="D25" s="1" t="s">
        <v>725</v>
      </c>
      <c r="E25" s="18">
        <v>1038</v>
      </c>
      <c r="F25" s="18" t="s">
        <v>165</v>
      </c>
      <c r="G25" s="21" t="s">
        <v>423</v>
      </c>
      <c r="H25" s="154" t="s">
        <v>424</v>
      </c>
      <c r="I25" s="19">
        <v>1.0000000000000001E-5</v>
      </c>
      <c r="J25" s="19">
        <f t="shared" si="0"/>
        <v>4.0000000000000003E-5</v>
      </c>
      <c r="K25" s="287"/>
      <c r="L25" s="287"/>
    </row>
    <row r="26" spans="1:12" ht="39.950000000000003" customHeight="1" x14ac:dyDescent="0.25">
      <c r="A26" s="18">
        <v>7</v>
      </c>
      <c r="B26" s="18" t="s">
        <v>477</v>
      </c>
      <c r="C26" s="30" t="s">
        <v>478</v>
      </c>
      <c r="D26" s="1" t="s">
        <v>726</v>
      </c>
      <c r="E26" s="18">
        <v>1038</v>
      </c>
      <c r="F26" s="18" t="s">
        <v>165</v>
      </c>
      <c r="G26" s="21" t="s">
        <v>423</v>
      </c>
      <c r="H26" s="154" t="s">
        <v>424</v>
      </c>
      <c r="I26" s="19">
        <v>1.0000000000000001E-5</v>
      </c>
      <c r="J26" s="19">
        <f t="shared" si="0"/>
        <v>4.0000000000000003E-5</v>
      </c>
      <c r="K26" s="287"/>
      <c r="L26" s="287"/>
    </row>
    <row r="27" spans="1:12" ht="39.950000000000003" customHeight="1" x14ac:dyDescent="0.25">
      <c r="A27" s="18">
        <v>8</v>
      </c>
      <c r="B27" s="18" t="s">
        <v>477</v>
      </c>
      <c r="C27" s="30" t="s">
        <v>478</v>
      </c>
      <c r="D27" s="1" t="s">
        <v>727</v>
      </c>
      <c r="E27" s="18">
        <v>1038</v>
      </c>
      <c r="F27" s="18" t="s">
        <v>165</v>
      </c>
      <c r="G27" s="21" t="s">
        <v>423</v>
      </c>
      <c r="H27" s="154" t="s">
        <v>424</v>
      </c>
      <c r="I27" s="19">
        <v>1.0000000000000001E-5</v>
      </c>
      <c r="J27" s="19">
        <f t="shared" si="0"/>
        <v>4.0000000000000003E-5</v>
      </c>
      <c r="K27" s="287"/>
      <c r="L27" s="287"/>
    </row>
    <row r="28" spans="1:12" ht="39.950000000000003" customHeight="1" x14ac:dyDescent="0.25">
      <c r="A28" s="18">
        <v>9</v>
      </c>
      <c r="B28" s="18" t="s">
        <v>477</v>
      </c>
      <c r="C28" s="30" t="s">
        <v>478</v>
      </c>
      <c r="D28" s="1" t="s">
        <v>504</v>
      </c>
      <c r="E28" s="18">
        <v>1038</v>
      </c>
      <c r="F28" s="18" t="s">
        <v>165</v>
      </c>
      <c r="G28" s="21" t="s">
        <v>423</v>
      </c>
      <c r="H28" s="154" t="s">
        <v>424</v>
      </c>
      <c r="I28" s="19">
        <v>1.0000000000000001E-5</v>
      </c>
      <c r="J28" s="19">
        <f t="shared" si="0"/>
        <v>4.0000000000000003E-5</v>
      </c>
      <c r="K28" s="287"/>
      <c r="L28" s="287"/>
    </row>
    <row r="29" spans="1:12" ht="39.950000000000003" customHeight="1" x14ac:dyDescent="0.25">
      <c r="A29" s="18">
        <v>10</v>
      </c>
      <c r="B29" s="18" t="s">
        <v>477</v>
      </c>
      <c r="C29" s="30" t="s">
        <v>478</v>
      </c>
      <c r="D29" s="1" t="s">
        <v>507</v>
      </c>
      <c r="E29" s="18">
        <v>1038</v>
      </c>
      <c r="F29" s="18" t="s">
        <v>165</v>
      </c>
      <c r="G29" s="21" t="s">
        <v>423</v>
      </c>
      <c r="H29" s="154" t="s">
        <v>424</v>
      </c>
      <c r="I29" s="19">
        <v>1.0000000000000001E-5</v>
      </c>
      <c r="J29" s="19">
        <f t="shared" si="0"/>
        <v>4.0000000000000003E-5</v>
      </c>
      <c r="K29" s="287"/>
      <c r="L29" s="287"/>
    </row>
    <row r="30" spans="1:12" ht="104.25" customHeight="1" x14ac:dyDescent="0.25">
      <c r="A30" s="18">
        <v>11</v>
      </c>
      <c r="B30" s="18" t="s">
        <v>484</v>
      </c>
      <c r="C30" s="30" t="s">
        <v>485</v>
      </c>
      <c r="D30" s="1" t="s">
        <v>511</v>
      </c>
      <c r="E30" s="18">
        <v>2190</v>
      </c>
      <c r="F30" s="18" t="s">
        <v>476</v>
      </c>
      <c r="G30" s="21" t="s">
        <v>423</v>
      </c>
      <c r="H30" s="154" t="s">
        <v>424</v>
      </c>
      <c r="I30" s="19">
        <v>1E-3</v>
      </c>
      <c r="J30" s="19">
        <f t="shared" si="0"/>
        <v>7.8799999999999999E-3</v>
      </c>
      <c r="K30" s="287"/>
      <c r="L30" s="287"/>
    </row>
    <row r="31" spans="1:12" ht="96" customHeight="1" x14ac:dyDescent="0.25">
      <c r="A31" s="18">
        <v>12</v>
      </c>
      <c r="B31" s="18" t="s">
        <v>486</v>
      </c>
      <c r="C31" s="30" t="s">
        <v>487</v>
      </c>
      <c r="D31" s="1" t="s">
        <v>512</v>
      </c>
      <c r="E31" s="18">
        <v>2190</v>
      </c>
      <c r="F31" s="18" t="s">
        <v>165</v>
      </c>
      <c r="G31" s="21" t="s">
        <v>423</v>
      </c>
      <c r="H31" s="154" t="s">
        <v>424</v>
      </c>
      <c r="I31" s="19">
        <v>1.01E-3</v>
      </c>
      <c r="J31" s="19">
        <f t="shared" si="0"/>
        <v>7.9600000000000001E-3</v>
      </c>
      <c r="K31" s="287"/>
      <c r="L31" s="287"/>
    </row>
    <row r="32" spans="1:12" ht="97.5" customHeight="1" x14ac:dyDescent="0.25">
      <c r="A32" s="18">
        <v>13</v>
      </c>
      <c r="B32" s="18" t="s">
        <v>486</v>
      </c>
      <c r="C32" s="30" t="s">
        <v>487</v>
      </c>
      <c r="D32" s="1" t="s">
        <v>515</v>
      </c>
      <c r="E32" s="18">
        <v>1038</v>
      </c>
      <c r="F32" s="18" t="s">
        <v>165</v>
      </c>
      <c r="G32" s="21" t="s">
        <v>423</v>
      </c>
      <c r="H32" s="154" t="s">
        <v>424</v>
      </c>
      <c r="I32" s="19">
        <v>2.3000000000000001E-4</v>
      </c>
      <c r="J32" s="19">
        <f t="shared" si="0"/>
        <v>8.5999999999999998E-4</v>
      </c>
      <c r="K32" s="287"/>
      <c r="L32" s="287"/>
    </row>
    <row r="33" spans="1:12" ht="97.5" customHeight="1" x14ac:dyDescent="0.25">
      <c r="A33" s="18">
        <v>14</v>
      </c>
      <c r="B33" s="18" t="s">
        <v>486</v>
      </c>
      <c r="C33" s="30" t="s">
        <v>487</v>
      </c>
      <c r="D33" s="1" t="s">
        <v>518</v>
      </c>
      <c r="E33" s="18">
        <v>1038</v>
      </c>
      <c r="F33" s="18" t="s">
        <v>165</v>
      </c>
      <c r="G33" s="21" t="s">
        <v>423</v>
      </c>
      <c r="H33" s="154" t="s">
        <v>424</v>
      </c>
      <c r="I33" s="19">
        <v>2.3000000000000001E-4</v>
      </c>
      <c r="J33" s="19">
        <f t="shared" si="0"/>
        <v>8.5999999999999998E-4</v>
      </c>
      <c r="K33" s="287"/>
      <c r="L33" s="287"/>
    </row>
    <row r="34" spans="1:12" ht="97.5" customHeight="1" x14ac:dyDescent="0.25">
      <c r="A34" s="18">
        <v>15</v>
      </c>
      <c r="B34" s="18" t="s">
        <v>486</v>
      </c>
      <c r="C34" s="30" t="s">
        <v>487</v>
      </c>
      <c r="D34" s="1" t="s">
        <v>728</v>
      </c>
      <c r="E34" s="18">
        <v>1038</v>
      </c>
      <c r="F34" s="18" t="s">
        <v>165</v>
      </c>
      <c r="G34" s="21" t="s">
        <v>423</v>
      </c>
      <c r="H34" s="154" t="s">
        <v>424</v>
      </c>
      <c r="I34" s="19">
        <v>2.3000000000000001E-4</v>
      </c>
      <c r="J34" s="19">
        <f t="shared" si="0"/>
        <v>8.5999999999999998E-4</v>
      </c>
      <c r="K34" s="287"/>
      <c r="L34" s="287"/>
    </row>
    <row r="35" spans="1:12" ht="97.5" customHeight="1" x14ac:dyDescent="0.25">
      <c r="A35" s="18">
        <v>16</v>
      </c>
      <c r="B35" s="18" t="s">
        <v>486</v>
      </c>
      <c r="C35" s="30" t="s">
        <v>487</v>
      </c>
      <c r="D35" s="1" t="s">
        <v>522</v>
      </c>
      <c r="E35" s="18">
        <v>1038</v>
      </c>
      <c r="F35" s="18" t="s">
        <v>165</v>
      </c>
      <c r="G35" s="21" t="s">
        <v>423</v>
      </c>
      <c r="H35" s="154" t="s">
        <v>424</v>
      </c>
      <c r="I35" s="19">
        <v>2.3000000000000001E-4</v>
      </c>
      <c r="J35" s="19">
        <f t="shared" si="0"/>
        <v>8.5999999999999998E-4</v>
      </c>
      <c r="K35" s="287"/>
      <c r="L35" s="287"/>
    </row>
    <row r="36" spans="1:12" s="24" customFormat="1" ht="38.25" x14ac:dyDescent="0.25">
      <c r="A36" s="19">
        <v>17</v>
      </c>
      <c r="B36" s="19" t="s">
        <v>488</v>
      </c>
      <c r="C36" s="21" t="s">
        <v>489</v>
      </c>
      <c r="D36" s="154" t="s">
        <v>527</v>
      </c>
      <c r="E36" s="19">
        <v>2190</v>
      </c>
      <c r="F36" s="19" t="s">
        <v>1480</v>
      </c>
      <c r="G36" s="21" t="s">
        <v>490</v>
      </c>
      <c r="H36" s="154" t="s">
        <v>140</v>
      </c>
      <c r="I36" s="19">
        <v>3.6810000000000002E-2</v>
      </c>
      <c r="J36" s="19">
        <f t="shared" si="0"/>
        <v>0.29021000000000002</v>
      </c>
      <c r="K36" s="728">
        <f>SUM(I20:I36)</f>
        <v>3.9900000000000005E-2</v>
      </c>
      <c r="L36" s="728"/>
    </row>
    <row r="37" spans="1:12" ht="15.75" x14ac:dyDescent="0.25">
      <c r="A37" s="1414" t="s">
        <v>550</v>
      </c>
      <c r="B37" s="1415"/>
      <c r="C37" s="1415"/>
      <c r="D37" s="1415"/>
      <c r="E37" s="1415"/>
      <c r="F37" s="1415"/>
      <c r="G37" s="1415"/>
      <c r="H37" s="1415"/>
      <c r="I37" s="1415"/>
      <c r="J37" s="1416"/>
      <c r="K37" s="736"/>
      <c r="L37" s="736"/>
    </row>
    <row r="38" spans="1:12" ht="25.5" x14ac:dyDescent="0.25">
      <c r="A38" s="19">
        <v>1</v>
      </c>
      <c r="B38" s="19" t="s">
        <v>551</v>
      </c>
      <c r="C38" s="21" t="s">
        <v>552</v>
      </c>
      <c r="D38" s="161" t="s">
        <v>530</v>
      </c>
      <c r="E38" s="19">
        <v>2190</v>
      </c>
      <c r="F38" s="19" t="s">
        <v>165</v>
      </c>
      <c r="G38" s="21" t="s">
        <v>250</v>
      </c>
      <c r="H38" s="59" t="s">
        <v>251</v>
      </c>
      <c r="I38" s="19">
        <v>1.39E-6</v>
      </c>
      <c r="J38" s="19">
        <f>ROUND(3.6*I38*E38/1000,6)</f>
        <v>1.1E-5</v>
      </c>
      <c r="K38" s="287"/>
      <c r="L38" s="287"/>
    </row>
    <row r="39" spans="1:12" ht="38.25" x14ac:dyDescent="0.25">
      <c r="A39" s="19">
        <v>2</v>
      </c>
      <c r="B39" s="19" t="s">
        <v>554</v>
      </c>
      <c r="C39" s="21" t="s">
        <v>552</v>
      </c>
      <c r="D39" s="161" t="s">
        <v>533</v>
      </c>
      <c r="E39" s="19">
        <v>2190</v>
      </c>
      <c r="F39" s="19" t="s">
        <v>165</v>
      </c>
      <c r="G39" s="21" t="s">
        <v>250</v>
      </c>
      <c r="H39" s="59" t="s">
        <v>251</v>
      </c>
      <c r="I39" s="19">
        <v>1.39E-6</v>
      </c>
      <c r="J39" s="19">
        <f>ROUND(3.6*I39*E39/1000,6)</f>
        <v>1.1E-5</v>
      </c>
      <c r="K39" s="287"/>
      <c r="L39" s="287"/>
    </row>
    <row r="40" spans="1:12" ht="25.5" x14ac:dyDescent="0.25">
      <c r="A40" s="19">
        <v>3</v>
      </c>
      <c r="B40" s="19" t="s">
        <v>551</v>
      </c>
      <c r="C40" s="21" t="s">
        <v>552</v>
      </c>
      <c r="D40" s="161" t="s">
        <v>730</v>
      </c>
      <c r="E40" s="19">
        <v>1038</v>
      </c>
      <c r="F40" s="19" t="s">
        <v>165</v>
      </c>
      <c r="G40" s="21" t="s">
        <v>250</v>
      </c>
      <c r="H40" s="59" t="s">
        <v>251</v>
      </c>
      <c r="I40" s="19">
        <v>1.0899999999999999E-6</v>
      </c>
      <c r="J40" s="19">
        <f>ROUND(3.6*I40*E40/1000,6)</f>
        <v>3.9999999999999998E-6</v>
      </c>
      <c r="K40" s="287"/>
      <c r="L40" s="287"/>
    </row>
    <row r="41" spans="1:12" ht="25.5" x14ac:dyDescent="0.25">
      <c r="A41" s="19">
        <v>4</v>
      </c>
      <c r="B41" s="19" t="s">
        <v>551</v>
      </c>
      <c r="C41" s="21" t="s">
        <v>552</v>
      </c>
      <c r="D41" s="161" t="s">
        <v>731</v>
      </c>
      <c r="E41" s="19">
        <v>1038</v>
      </c>
      <c r="F41" s="19" t="s">
        <v>165</v>
      </c>
      <c r="G41" s="21" t="s">
        <v>250</v>
      </c>
      <c r="H41" s="59" t="s">
        <v>251</v>
      </c>
      <c r="I41" s="19">
        <v>1.0899999999999999E-6</v>
      </c>
      <c r="J41" s="19">
        <f>ROUND(3.6*I41*E41/1000,6)</f>
        <v>3.9999999999999998E-6</v>
      </c>
      <c r="K41" s="287"/>
      <c r="L41" s="287"/>
    </row>
    <row r="42" spans="1:12" ht="25.5" x14ac:dyDescent="0.25">
      <c r="A42" s="25">
        <v>5</v>
      </c>
      <c r="B42" s="25" t="s">
        <v>558</v>
      </c>
      <c r="C42" s="42" t="s">
        <v>552</v>
      </c>
      <c r="D42" s="161" t="s">
        <v>538</v>
      </c>
      <c r="E42" s="25">
        <v>2190</v>
      </c>
      <c r="F42" s="25" t="s">
        <v>165</v>
      </c>
      <c r="G42" s="42" t="s">
        <v>250</v>
      </c>
      <c r="H42" s="165" t="s">
        <v>251</v>
      </c>
      <c r="I42" s="25">
        <v>3.0000000000000001E-5</v>
      </c>
      <c r="J42" s="25">
        <f>ROUND(3.6*I42*E42/1000,5)</f>
        <v>2.4000000000000001E-4</v>
      </c>
      <c r="K42" s="287">
        <f>SUM(I38:I42)</f>
        <v>3.4960000000000004E-5</v>
      </c>
      <c r="L42" s="287"/>
    </row>
    <row r="43" spans="1:12" ht="11.25" customHeight="1" x14ac:dyDescent="0.25">
      <c r="A43" s="61" t="s">
        <v>438</v>
      </c>
    </row>
    <row r="44" spans="1:12" ht="10.5" customHeight="1" x14ac:dyDescent="0.25">
      <c r="K44">
        <f>SUM(K20:K42)</f>
        <v>3.9934960000000005E-2</v>
      </c>
    </row>
    <row r="45" spans="1:12" s="322" customFormat="1" ht="15.75" x14ac:dyDescent="0.25">
      <c r="A45" s="1374" t="s">
        <v>147</v>
      </c>
      <c r="B45" s="1375"/>
      <c r="C45" s="1375"/>
      <c r="D45" s="1375"/>
      <c r="E45" s="1375"/>
      <c r="F45" s="1375"/>
      <c r="G45" s="1375"/>
      <c r="H45" s="1375"/>
      <c r="I45" s="1375"/>
      <c r="J45" s="1376"/>
      <c r="K45" s="734"/>
      <c r="L45" s="734"/>
    </row>
    <row r="46" spans="1:12" s="322" customFormat="1" ht="15.75" x14ac:dyDescent="0.25">
      <c r="A46" s="1414" t="s">
        <v>499</v>
      </c>
      <c r="B46" s="1415"/>
      <c r="C46" s="1415"/>
      <c r="D46" s="1415"/>
      <c r="E46" s="1415"/>
      <c r="F46" s="1415"/>
      <c r="G46" s="1415"/>
      <c r="H46" s="1415"/>
      <c r="I46" s="1415"/>
      <c r="J46" s="1416"/>
      <c r="K46" s="735"/>
      <c r="L46" s="735"/>
    </row>
    <row r="47" spans="1:12" ht="39.950000000000003" customHeight="1" x14ac:dyDescent="0.25">
      <c r="A47" s="18">
        <v>1</v>
      </c>
      <c r="B47" s="18" t="s">
        <v>477</v>
      </c>
      <c r="C47" s="30" t="s">
        <v>478</v>
      </c>
      <c r="D47" s="1" t="s">
        <v>721</v>
      </c>
      <c r="E47" s="18">
        <v>8760</v>
      </c>
      <c r="F47" s="18" t="s">
        <v>165</v>
      </c>
      <c r="G47" s="21" t="s">
        <v>423</v>
      </c>
      <c r="H47" s="154" t="s">
        <v>424</v>
      </c>
      <c r="I47" s="19">
        <v>4.0000000000000003E-5</v>
      </c>
      <c r="J47" s="19">
        <f t="shared" ref="J47:J63" si="1">ROUND(3.6*I47*E47/1000,5)</f>
        <v>1.2600000000000001E-3</v>
      </c>
      <c r="K47" s="287"/>
      <c r="L47" s="287"/>
    </row>
    <row r="48" spans="1:12" ht="39.950000000000003" customHeight="1" x14ac:dyDescent="0.25">
      <c r="A48" s="18">
        <v>2</v>
      </c>
      <c r="B48" s="18" t="s">
        <v>480</v>
      </c>
      <c r="C48" s="30" t="s">
        <v>478</v>
      </c>
      <c r="D48" s="1" t="s">
        <v>722</v>
      </c>
      <c r="E48" s="18">
        <v>8760</v>
      </c>
      <c r="F48" s="18" t="s">
        <v>165</v>
      </c>
      <c r="G48" s="21" t="s">
        <v>423</v>
      </c>
      <c r="H48" s="154" t="s">
        <v>424</v>
      </c>
      <c r="I48" s="19">
        <v>2.0000000000000002E-5</v>
      </c>
      <c r="J48" s="19">
        <f t="shared" si="1"/>
        <v>6.3000000000000003E-4</v>
      </c>
      <c r="K48" s="287"/>
      <c r="L48" s="287"/>
    </row>
    <row r="49" spans="1:12" ht="39.950000000000003" customHeight="1" x14ac:dyDescent="0.25">
      <c r="A49" s="18">
        <v>3</v>
      </c>
      <c r="B49" s="18" t="s">
        <v>480</v>
      </c>
      <c r="C49" s="30" t="s">
        <v>478</v>
      </c>
      <c r="D49" s="1" t="s">
        <v>723</v>
      </c>
      <c r="E49" s="18">
        <v>8760</v>
      </c>
      <c r="F49" s="18" t="s">
        <v>165</v>
      </c>
      <c r="G49" s="21" t="s">
        <v>423</v>
      </c>
      <c r="H49" s="154" t="s">
        <v>424</v>
      </c>
      <c r="I49" s="19">
        <v>2.0000000000000002E-5</v>
      </c>
      <c r="J49" s="19">
        <f t="shared" si="1"/>
        <v>6.3000000000000003E-4</v>
      </c>
      <c r="K49" s="287"/>
      <c r="L49" s="287"/>
    </row>
    <row r="50" spans="1:12" ht="39.950000000000003" customHeight="1" x14ac:dyDescent="0.25">
      <c r="A50" s="18">
        <v>4</v>
      </c>
      <c r="B50" s="18" t="s">
        <v>477</v>
      </c>
      <c r="C50" s="30" t="s">
        <v>478</v>
      </c>
      <c r="D50" s="1" t="s">
        <v>724</v>
      </c>
      <c r="E50" s="18">
        <v>8760</v>
      </c>
      <c r="F50" s="18" t="s">
        <v>165</v>
      </c>
      <c r="G50" s="21" t="s">
        <v>423</v>
      </c>
      <c r="H50" s="154" t="s">
        <v>424</v>
      </c>
      <c r="I50" s="19">
        <v>2.0000000000000002E-5</v>
      </c>
      <c r="J50" s="19">
        <f t="shared" si="1"/>
        <v>6.3000000000000003E-4</v>
      </c>
      <c r="K50" s="287"/>
      <c r="L50" s="287"/>
    </row>
    <row r="51" spans="1:12" ht="39.950000000000003" customHeight="1" x14ac:dyDescent="0.25">
      <c r="A51" s="18">
        <v>5</v>
      </c>
      <c r="B51" s="18" t="s">
        <v>477</v>
      </c>
      <c r="C51" s="30" t="s">
        <v>478</v>
      </c>
      <c r="D51" s="1" t="s">
        <v>497</v>
      </c>
      <c r="E51" s="18">
        <v>4152</v>
      </c>
      <c r="F51" s="18" t="s">
        <v>165</v>
      </c>
      <c r="G51" s="21" t="s">
        <v>423</v>
      </c>
      <c r="H51" s="154" t="s">
        <v>424</v>
      </c>
      <c r="I51" s="19">
        <v>1.0000000000000001E-5</v>
      </c>
      <c r="J51" s="19">
        <f t="shared" si="1"/>
        <v>1.4999999999999999E-4</v>
      </c>
      <c r="K51" s="287"/>
      <c r="L51" s="287"/>
    </row>
    <row r="52" spans="1:12" ht="39.950000000000003" customHeight="1" x14ac:dyDescent="0.25">
      <c r="A52" s="18">
        <v>6</v>
      </c>
      <c r="B52" s="18" t="s">
        <v>477</v>
      </c>
      <c r="C52" s="30" t="s">
        <v>478</v>
      </c>
      <c r="D52" s="1" t="s">
        <v>725</v>
      </c>
      <c r="E52" s="18">
        <v>4152</v>
      </c>
      <c r="F52" s="18" t="s">
        <v>165</v>
      </c>
      <c r="G52" s="21" t="s">
        <v>423</v>
      </c>
      <c r="H52" s="154" t="s">
        <v>424</v>
      </c>
      <c r="I52" s="19">
        <v>1.0000000000000001E-5</v>
      </c>
      <c r="J52" s="19">
        <f t="shared" si="1"/>
        <v>1.4999999999999999E-4</v>
      </c>
      <c r="K52" s="287"/>
      <c r="L52" s="287"/>
    </row>
    <row r="53" spans="1:12" ht="39.950000000000003" customHeight="1" x14ac:dyDescent="0.25">
      <c r="A53" s="18">
        <v>7</v>
      </c>
      <c r="B53" s="18" t="s">
        <v>477</v>
      </c>
      <c r="C53" s="30" t="s">
        <v>478</v>
      </c>
      <c r="D53" s="1" t="s">
        <v>726</v>
      </c>
      <c r="E53" s="18">
        <v>4152</v>
      </c>
      <c r="F53" s="18" t="s">
        <v>165</v>
      </c>
      <c r="G53" s="21" t="s">
        <v>423</v>
      </c>
      <c r="H53" s="154" t="s">
        <v>424</v>
      </c>
      <c r="I53" s="19">
        <v>1.0000000000000001E-5</v>
      </c>
      <c r="J53" s="19">
        <f t="shared" si="1"/>
        <v>1.4999999999999999E-4</v>
      </c>
      <c r="K53" s="287"/>
      <c r="L53" s="287"/>
    </row>
    <row r="54" spans="1:12" ht="39.950000000000003" customHeight="1" x14ac:dyDescent="0.25">
      <c r="A54" s="18">
        <v>8</v>
      </c>
      <c r="B54" s="18" t="s">
        <v>477</v>
      </c>
      <c r="C54" s="30" t="s">
        <v>478</v>
      </c>
      <c r="D54" s="1" t="s">
        <v>727</v>
      </c>
      <c r="E54" s="18">
        <v>4152</v>
      </c>
      <c r="F54" s="18" t="s">
        <v>165</v>
      </c>
      <c r="G54" s="21" t="s">
        <v>423</v>
      </c>
      <c r="H54" s="154" t="s">
        <v>424</v>
      </c>
      <c r="I54" s="19">
        <v>1.0000000000000001E-5</v>
      </c>
      <c r="J54" s="19">
        <f t="shared" si="1"/>
        <v>1.4999999999999999E-4</v>
      </c>
      <c r="K54" s="287"/>
      <c r="L54" s="287"/>
    </row>
    <row r="55" spans="1:12" ht="39.950000000000003" customHeight="1" x14ac:dyDescent="0.25">
      <c r="A55" s="18">
        <v>9</v>
      </c>
      <c r="B55" s="18" t="s">
        <v>477</v>
      </c>
      <c r="C55" s="30" t="s">
        <v>478</v>
      </c>
      <c r="D55" s="1" t="s">
        <v>504</v>
      </c>
      <c r="E55" s="18">
        <v>4152</v>
      </c>
      <c r="F55" s="18" t="s">
        <v>165</v>
      </c>
      <c r="G55" s="21" t="s">
        <v>423</v>
      </c>
      <c r="H55" s="154" t="s">
        <v>424</v>
      </c>
      <c r="I55" s="19">
        <v>1.0000000000000001E-5</v>
      </c>
      <c r="J55" s="19">
        <f t="shared" si="1"/>
        <v>1.4999999999999999E-4</v>
      </c>
      <c r="K55" s="287"/>
      <c r="L55" s="287"/>
    </row>
    <row r="56" spans="1:12" ht="39.950000000000003" customHeight="1" x14ac:dyDescent="0.25">
      <c r="A56" s="18">
        <v>10</v>
      </c>
      <c r="B56" s="18" t="s">
        <v>477</v>
      </c>
      <c r="C56" s="30" t="s">
        <v>478</v>
      </c>
      <c r="D56" s="1" t="s">
        <v>507</v>
      </c>
      <c r="E56" s="18">
        <v>4152</v>
      </c>
      <c r="F56" s="18" t="s">
        <v>165</v>
      </c>
      <c r="G56" s="21" t="s">
        <v>423</v>
      </c>
      <c r="H56" s="154" t="s">
        <v>424</v>
      </c>
      <c r="I56" s="19">
        <v>1.0000000000000001E-5</v>
      </c>
      <c r="J56" s="19">
        <f t="shared" si="1"/>
        <v>1.4999999999999999E-4</v>
      </c>
      <c r="K56" s="287"/>
      <c r="L56" s="287"/>
    </row>
    <row r="57" spans="1:12" ht="104.25" customHeight="1" x14ac:dyDescent="0.25">
      <c r="A57" s="18">
        <v>11</v>
      </c>
      <c r="B57" s="18" t="s">
        <v>484</v>
      </c>
      <c r="C57" s="30" t="s">
        <v>485</v>
      </c>
      <c r="D57" s="1" t="s">
        <v>511</v>
      </c>
      <c r="E57" s="18">
        <v>8760</v>
      </c>
      <c r="F57" s="18" t="s">
        <v>476</v>
      </c>
      <c r="G57" s="21" t="s">
        <v>423</v>
      </c>
      <c r="H57" s="154" t="s">
        <v>424</v>
      </c>
      <c r="I57" s="19">
        <v>1E-3</v>
      </c>
      <c r="J57" s="19">
        <f t="shared" si="1"/>
        <v>3.1539999999999999E-2</v>
      </c>
      <c r="K57" s="287"/>
      <c r="L57" s="287"/>
    </row>
    <row r="58" spans="1:12" ht="96" customHeight="1" x14ac:dyDescent="0.25">
      <c r="A58" s="18">
        <v>12</v>
      </c>
      <c r="B58" s="18" t="s">
        <v>486</v>
      </c>
      <c r="C58" s="30" t="s">
        <v>487</v>
      </c>
      <c r="D58" s="1" t="s">
        <v>512</v>
      </c>
      <c r="E58" s="18">
        <v>8760</v>
      </c>
      <c r="F58" s="18" t="s">
        <v>165</v>
      </c>
      <c r="G58" s="21" t="s">
        <v>423</v>
      </c>
      <c r="H58" s="154" t="s">
        <v>424</v>
      </c>
      <c r="I58" s="19">
        <v>1.01E-3</v>
      </c>
      <c r="J58" s="19">
        <f t="shared" si="1"/>
        <v>3.1850000000000003E-2</v>
      </c>
      <c r="K58" s="287"/>
      <c r="L58" s="287"/>
    </row>
    <row r="59" spans="1:12" ht="97.5" customHeight="1" x14ac:dyDescent="0.25">
      <c r="A59" s="18">
        <v>13</v>
      </c>
      <c r="B59" s="18" t="s">
        <v>486</v>
      </c>
      <c r="C59" s="30" t="s">
        <v>487</v>
      </c>
      <c r="D59" s="1" t="s">
        <v>515</v>
      </c>
      <c r="E59" s="18">
        <v>4152</v>
      </c>
      <c r="F59" s="18" t="s">
        <v>165</v>
      </c>
      <c r="G59" s="21" t="s">
        <v>423</v>
      </c>
      <c r="H59" s="154" t="s">
        <v>424</v>
      </c>
      <c r="I59" s="19">
        <v>2.3000000000000001E-4</v>
      </c>
      <c r="J59" s="19">
        <f t="shared" si="1"/>
        <v>3.4399999999999999E-3</v>
      </c>
      <c r="K59" s="287"/>
      <c r="L59" s="287"/>
    </row>
    <row r="60" spans="1:12" ht="97.5" customHeight="1" x14ac:dyDescent="0.25">
      <c r="A60" s="18">
        <v>14</v>
      </c>
      <c r="B60" s="18" t="s">
        <v>486</v>
      </c>
      <c r="C60" s="30" t="s">
        <v>487</v>
      </c>
      <c r="D60" s="1" t="s">
        <v>518</v>
      </c>
      <c r="E60" s="18">
        <v>4152</v>
      </c>
      <c r="F60" s="18" t="s">
        <v>165</v>
      </c>
      <c r="G60" s="21" t="s">
        <v>423</v>
      </c>
      <c r="H60" s="154" t="s">
        <v>424</v>
      </c>
      <c r="I60" s="19">
        <v>2.3000000000000001E-4</v>
      </c>
      <c r="J60" s="19">
        <f t="shared" si="1"/>
        <v>3.4399999999999999E-3</v>
      </c>
      <c r="K60" s="287"/>
      <c r="L60" s="287"/>
    </row>
    <row r="61" spans="1:12" ht="97.5" customHeight="1" x14ac:dyDescent="0.25">
      <c r="A61" s="18">
        <v>15</v>
      </c>
      <c r="B61" s="18" t="s">
        <v>486</v>
      </c>
      <c r="C61" s="30" t="s">
        <v>487</v>
      </c>
      <c r="D61" s="1" t="s">
        <v>728</v>
      </c>
      <c r="E61" s="18">
        <v>4152</v>
      </c>
      <c r="F61" s="18" t="s">
        <v>165</v>
      </c>
      <c r="G61" s="21" t="s">
        <v>423</v>
      </c>
      <c r="H61" s="154" t="s">
        <v>424</v>
      </c>
      <c r="I61" s="19">
        <v>2.3000000000000001E-4</v>
      </c>
      <c r="J61" s="19">
        <f t="shared" si="1"/>
        <v>3.4399999999999999E-3</v>
      </c>
      <c r="K61" s="287"/>
      <c r="L61" s="287"/>
    </row>
    <row r="62" spans="1:12" ht="97.5" customHeight="1" x14ac:dyDescent="0.25">
      <c r="A62" s="18">
        <v>16</v>
      </c>
      <c r="B62" s="18" t="s">
        <v>486</v>
      </c>
      <c r="C62" s="30" t="s">
        <v>487</v>
      </c>
      <c r="D62" s="1" t="s">
        <v>522</v>
      </c>
      <c r="E62" s="18">
        <v>4152</v>
      </c>
      <c r="F62" s="18" t="s">
        <v>165</v>
      </c>
      <c r="G62" s="21" t="s">
        <v>423</v>
      </c>
      <c r="H62" s="154" t="s">
        <v>424</v>
      </c>
      <c r="I62" s="19">
        <v>2.3000000000000001E-4</v>
      </c>
      <c r="J62" s="19">
        <f t="shared" si="1"/>
        <v>3.4399999999999999E-3</v>
      </c>
      <c r="K62" s="287"/>
      <c r="L62" s="287"/>
    </row>
    <row r="63" spans="1:12" s="24" customFormat="1" ht="38.25" x14ac:dyDescent="0.25">
      <c r="A63" s="19">
        <v>17</v>
      </c>
      <c r="B63" s="19" t="s">
        <v>488</v>
      </c>
      <c r="C63" s="21" t="s">
        <v>489</v>
      </c>
      <c r="D63" s="154" t="s">
        <v>527</v>
      </c>
      <c r="E63" s="19">
        <v>8760</v>
      </c>
      <c r="F63" s="19" t="s">
        <v>1480</v>
      </c>
      <c r="G63" s="21" t="s">
        <v>490</v>
      </c>
      <c r="H63" s="154" t="s">
        <v>140</v>
      </c>
      <c r="I63" s="19">
        <v>3.6810000000000002E-2</v>
      </c>
      <c r="J63" s="19">
        <f t="shared" si="1"/>
        <v>1.1608400000000001</v>
      </c>
      <c r="K63" s="728">
        <f>SUM(I47:I63)</f>
        <v>3.9900000000000005E-2</v>
      </c>
      <c r="L63" s="728">
        <f>SUM(J47:J63)</f>
        <v>1.24204</v>
      </c>
    </row>
    <row r="64" spans="1:12" ht="15.75" x14ac:dyDescent="0.25">
      <c r="A64" s="1411" t="s">
        <v>550</v>
      </c>
      <c r="B64" s="1412"/>
      <c r="C64" s="1412"/>
      <c r="D64" s="1412"/>
      <c r="E64" s="1412"/>
      <c r="F64" s="1412"/>
      <c r="G64" s="1412"/>
      <c r="H64" s="1412"/>
      <c r="I64" s="1412"/>
      <c r="J64" s="1413"/>
      <c r="K64" s="736"/>
      <c r="L64" s="736"/>
    </row>
    <row r="65" spans="1:12" ht="25.5" x14ac:dyDescent="0.25">
      <c r="A65" s="19">
        <v>1</v>
      </c>
      <c r="B65" s="19" t="s">
        <v>551</v>
      </c>
      <c r="C65" s="21" t="s">
        <v>552</v>
      </c>
      <c r="D65" s="161" t="s">
        <v>530</v>
      </c>
      <c r="E65" s="19">
        <v>8760</v>
      </c>
      <c r="F65" s="19" t="s">
        <v>165</v>
      </c>
      <c r="G65" s="21" t="s">
        <v>250</v>
      </c>
      <c r="H65" s="59" t="s">
        <v>251</v>
      </c>
      <c r="I65" s="19">
        <v>1.39E-6</v>
      </c>
      <c r="J65" s="19">
        <f>ROUND(3.6*I65*E65/1000,6)</f>
        <v>4.3999999999999999E-5</v>
      </c>
      <c r="K65" s="287"/>
      <c r="L65" s="287"/>
    </row>
    <row r="66" spans="1:12" ht="38.25" x14ac:dyDescent="0.25">
      <c r="A66" s="19">
        <v>2</v>
      </c>
      <c r="B66" s="19" t="s">
        <v>554</v>
      </c>
      <c r="C66" s="21" t="s">
        <v>552</v>
      </c>
      <c r="D66" s="161" t="s">
        <v>533</v>
      </c>
      <c r="E66" s="19">
        <v>8760</v>
      </c>
      <c r="F66" s="19" t="s">
        <v>165</v>
      </c>
      <c r="G66" s="21" t="s">
        <v>250</v>
      </c>
      <c r="H66" s="59" t="s">
        <v>251</v>
      </c>
      <c r="I66" s="19">
        <v>1.39E-6</v>
      </c>
      <c r="J66" s="19">
        <f>ROUND(3.6*I66*E66/1000,6)</f>
        <v>4.3999999999999999E-5</v>
      </c>
      <c r="K66" s="287"/>
      <c r="L66" s="287"/>
    </row>
    <row r="67" spans="1:12" ht="25.5" x14ac:dyDescent="0.25">
      <c r="A67" s="19">
        <v>3</v>
      </c>
      <c r="B67" s="19" t="s">
        <v>551</v>
      </c>
      <c r="C67" s="21" t="s">
        <v>552</v>
      </c>
      <c r="D67" s="161" t="s">
        <v>730</v>
      </c>
      <c r="E67" s="19">
        <v>4152</v>
      </c>
      <c r="F67" s="19" t="s">
        <v>165</v>
      </c>
      <c r="G67" s="21" t="s">
        <v>250</v>
      </c>
      <c r="H67" s="59" t="s">
        <v>251</v>
      </c>
      <c r="I67" s="19">
        <v>1.0899999999999999E-6</v>
      </c>
      <c r="J67" s="19">
        <f>ROUND(3.6*I67*E67/1000,6)</f>
        <v>1.5999999999999999E-5</v>
      </c>
      <c r="K67" s="287"/>
      <c r="L67" s="287"/>
    </row>
    <row r="68" spans="1:12" ht="25.5" x14ac:dyDescent="0.25">
      <c r="A68" s="19">
        <v>4</v>
      </c>
      <c r="B68" s="19" t="s">
        <v>551</v>
      </c>
      <c r="C68" s="21" t="s">
        <v>552</v>
      </c>
      <c r="D68" s="161" t="s">
        <v>731</v>
      </c>
      <c r="E68" s="19">
        <v>4152</v>
      </c>
      <c r="F68" s="19" t="s">
        <v>165</v>
      </c>
      <c r="G68" s="21" t="s">
        <v>250</v>
      </c>
      <c r="H68" s="59" t="s">
        <v>251</v>
      </c>
      <c r="I68" s="19">
        <v>1.0899999999999999E-6</v>
      </c>
      <c r="J68" s="19">
        <f>ROUND(3.6*I68*E68/1000,6)</f>
        <v>1.5999999999999999E-5</v>
      </c>
      <c r="K68" s="287"/>
      <c r="L68" s="287"/>
    </row>
    <row r="69" spans="1:12" ht="25.5" x14ac:dyDescent="0.25">
      <c r="A69" s="25">
        <v>5</v>
      </c>
      <c r="B69" s="25" t="s">
        <v>558</v>
      </c>
      <c r="C69" s="42" t="s">
        <v>552</v>
      </c>
      <c r="D69" s="161" t="s">
        <v>538</v>
      </c>
      <c r="E69" s="25">
        <v>8760</v>
      </c>
      <c r="F69" s="25" t="s">
        <v>165</v>
      </c>
      <c r="G69" s="42" t="s">
        <v>250</v>
      </c>
      <c r="H69" s="165" t="s">
        <v>251</v>
      </c>
      <c r="I69" s="25">
        <v>3.0000000000000001E-5</v>
      </c>
      <c r="J69" s="25">
        <f>ROUND(3.6*I69*E69/1000,5)</f>
        <v>9.5E-4</v>
      </c>
      <c r="K69" s="287">
        <f>SUM(I65:I69)</f>
        <v>3.4960000000000004E-5</v>
      </c>
      <c r="L69" s="287">
        <f>SUM(J65:J69)</f>
        <v>1.07E-3</v>
      </c>
    </row>
    <row r="70" spans="1:12" x14ac:dyDescent="0.25">
      <c r="A70" s="61" t="s">
        <v>438</v>
      </c>
    </row>
    <row r="71" spans="1:12" x14ac:dyDescent="0.25">
      <c r="K71">
        <f>SUM(K47:K69)</f>
        <v>3.9934960000000005E-2</v>
      </c>
      <c r="L71">
        <f>SUM(L47:L69)</f>
        <v>1.2431099999999999</v>
      </c>
    </row>
  </sheetData>
  <mergeCells count="23">
    <mergeCell ref="A10:I10"/>
    <mergeCell ref="A14:R14"/>
    <mergeCell ref="A1:I1"/>
    <mergeCell ref="A3:J3"/>
    <mergeCell ref="A5:I5"/>
    <mergeCell ref="A7:I7"/>
    <mergeCell ref="A9:I9"/>
    <mergeCell ref="A12:J12"/>
    <mergeCell ref="A64:J64"/>
    <mergeCell ref="A45:J45"/>
    <mergeCell ref="A46:J46"/>
    <mergeCell ref="G15:G16"/>
    <mergeCell ref="H15:H16"/>
    <mergeCell ref="I15:J15"/>
    <mergeCell ref="A15:A16"/>
    <mergeCell ref="B15:B16"/>
    <mergeCell ref="C15:C16"/>
    <mergeCell ref="D15:D16"/>
    <mergeCell ref="E15:E16"/>
    <mergeCell ref="F15:F16"/>
    <mergeCell ref="A18:J18"/>
    <mergeCell ref="A19:J19"/>
    <mergeCell ref="A37:J37"/>
  </mergeCells>
  <pageMargins left="0.31496062992125984" right="0.31496062992125984" top="0.78740157480314965" bottom="0.39370078740157483" header="0.31496062992125984" footer="0.19685039370078741"/>
  <pageSetup paperSize="9" firstPageNumber="79" orientation="landscape" useFirstPageNumber="1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13"/>
  <sheetViews>
    <sheetView view="pageBreakPreview" zoomScaleNormal="100" zoomScaleSheetLayoutView="100" workbookViewId="0">
      <selection activeCell="A37" sqref="A37:I37"/>
    </sheetView>
  </sheetViews>
  <sheetFormatPr defaultRowHeight="15" x14ac:dyDescent="0.25"/>
  <cols>
    <col min="1" max="8" width="9.140625" style="469"/>
    <col min="9" max="9" width="16.42578125" style="469" customWidth="1"/>
    <col min="10" max="16384" width="9.140625" style="469"/>
  </cols>
  <sheetData>
    <row r="1" spans="1:9" ht="39" customHeight="1" x14ac:dyDescent="0.25">
      <c r="A1" s="994" t="s">
        <v>783</v>
      </c>
      <c r="B1" s="994"/>
      <c r="C1" s="994"/>
      <c r="D1" s="994"/>
      <c r="E1" s="994"/>
      <c r="F1" s="994"/>
      <c r="G1" s="994"/>
      <c r="H1" s="994"/>
      <c r="I1" s="994"/>
    </row>
    <row r="2" spans="1:9" ht="9" customHeight="1" x14ac:dyDescent="0.25">
      <c r="A2" s="994"/>
      <c r="B2" s="994"/>
      <c r="C2" s="994"/>
      <c r="D2" s="994"/>
      <c r="E2" s="994"/>
      <c r="F2" s="994"/>
      <c r="G2" s="994"/>
      <c r="H2" s="994"/>
    </row>
    <row r="3" spans="1:9" ht="54.75" customHeight="1" x14ac:dyDescent="0.25">
      <c r="A3" s="986" t="s">
        <v>782</v>
      </c>
      <c r="B3" s="986"/>
      <c r="C3" s="986"/>
      <c r="D3" s="986"/>
      <c r="E3" s="986"/>
      <c r="F3" s="986"/>
      <c r="G3" s="986"/>
      <c r="H3" s="986"/>
      <c r="I3" s="986"/>
    </row>
    <row r="4" spans="1:9" ht="18.75" x14ac:dyDescent="0.25">
      <c r="A4" s="988" t="s">
        <v>1217</v>
      </c>
      <c r="B4" s="995"/>
      <c r="C4" s="995"/>
      <c r="D4" s="995"/>
      <c r="E4" s="995"/>
      <c r="F4" s="995"/>
      <c r="G4" s="995"/>
      <c r="H4" s="995"/>
      <c r="I4" s="995"/>
    </row>
    <row r="5" spans="1:9" ht="18.75" x14ac:dyDescent="0.25">
      <c r="A5" s="986" t="s">
        <v>1206</v>
      </c>
      <c r="B5" s="986"/>
      <c r="C5" s="986"/>
      <c r="D5" s="986"/>
      <c r="E5" s="986"/>
      <c r="F5" s="986"/>
      <c r="G5" s="986"/>
      <c r="H5" s="986"/>
      <c r="I5" s="986"/>
    </row>
    <row r="6" spans="1:9" ht="18.75" x14ac:dyDescent="0.25">
      <c r="A6" s="986" t="s">
        <v>1207</v>
      </c>
      <c r="B6" s="986"/>
      <c r="C6" s="986"/>
      <c r="D6" s="986"/>
      <c r="E6" s="986"/>
      <c r="F6" s="986"/>
      <c r="G6" s="986"/>
      <c r="H6" s="986"/>
      <c r="I6" s="986"/>
    </row>
    <row r="7" spans="1:9" ht="19.5" x14ac:dyDescent="0.25">
      <c r="A7" s="988" t="s">
        <v>1208</v>
      </c>
      <c r="B7" s="988"/>
      <c r="C7" s="988"/>
      <c r="D7" s="988"/>
      <c r="E7" s="988"/>
      <c r="F7" s="988"/>
      <c r="G7" s="988"/>
      <c r="H7" s="988"/>
      <c r="I7" s="988"/>
    </row>
    <row r="8" spans="1:9" ht="18.75" x14ac:dyDescent="0.25">
      <c r="A8" s="986" t="s">
        <v>1209</v>
      </c>
      <c r="B8" s="986"/>
      <c r="C8" s="986"/>
      <c r="D8" s="986"/>
      <c r="E8" s="986"/>
      <c r="F8" s="986"/>
      <c r="G8" s="986"/>
      <c r="H8" s="986"/>
      <c r="I8" s="986"/>
    </row>
    <row r="9" spans="1:9" ht="18.75" x14ac:dyDescent="0.25">
      <c r="A9" s="986" t="s">
        <v>1210</v>
      </c>
      <c r="B9" s="986"/>
      <c r="C9" s="986"/>
      <c r="D9" s="986"/>
      <c r="E9" s="986"/>
      <c r="F9" s="986"/>
      <c r="G9" s="986"/>
      <c r="H9" s="986"/>
      <c r="I9" s="986"/>
    </row>
    <row r="10" spans="1:9" ht="19.5" x14ac:dyDescent="0.25">
      <c r="A10" s="988" t="s">
        <v>1218</v>
      </c>
      <c r="B10" s="988"/>
      <c r="C10" s="988"/>
      <c r="D10" s="988"/>
      <c r="E10" s="988"/>
      <c r="F10" s="988"/>
      <c r="G10" s="988"/>
      <c r="H10" s="988"/>
      <c r="I10" s="988"/>
    </row>
    <row r="11" spans="1:9" ht="57.75" customHeight="1" x14ac:dyDescent="0.25">
      <c r="A11" s="986" t="s">
        <v>1219</v>
      </c>
      <c r="B11" s="986"/>
      <c r="C11" s="986"/>
      <c r="D11" s="986"/>
      <c r="E11" s="986"/>
      <c r="F11" s="986"/>
      <c r="G11" s="986"/>
      <c r="H11" s="986"/>
      <c r="I11" s="986"/>
    </row>
    <row r="12" spans="1:9" ht="18.75" x14ac:dyDescent="0.25">
      <c r="A12" s="986" t="s">
        <v>1211</v>
      </c>
      <c r="B12" s="986"/>
      <c r="C12" s="986"/>
      <c r="D12" s="986"/>
      <c r="E12" s="986"/>
      <c r="F12" s="986"/>
      <c r="G12" s="986"/>
      <c r="H12" s="986"/>
      <c r="I12" s="986"/>
    </row>
    <row r="13" spans="1:9" ht="18.75" x14ac:dyDescent="0.25">
      <c r="A13" s="986" t="s">
        <v>1212</v>
      </c>
      <c r="B13" s="986"/>
      <c r="C13" s="986"/>
      <c r="D13" s="986"/>
      <c r="E13" s="986"/>
      <c r="F13" s="986"/>
      <c r="G13" s="986"/>
      <c r="H13" s="986"/>
      <c r="I13" s="986"/>
    </row>
    <row r="14" spans="1:9" ht="18.75" x14ac:dyDescent="0.25">
      <c r="A14" s="986" t="s">
        <v>1213</v>
      </c>
      <c r="B14" s="986"/>
      <c r="C14" s="986"/>
      <c r="D14" s="986"/>
      <c r="E14" s="986"/>
      <c r="F14" s="986"/>
      <c r="G14" s="986"/>
      <c r="H14" s="986"/>
      <c r="I14" s="986"/>
    </row>
    <row r="15" spans="1:9" ht="18.75" x14ac:dyDescent="0.25">
      <c r="A15" s="986" t="s">
        <v>1214</v>
      </c>
      <c r="B15" s="986"/>
      <c r="C15" s="986"/>
      <c r="D15" s="986"/>
      <c r="E15" s="986"/>
      <c r="F15" s="986"/>
      <c r="G15" s="986"/>
      <c r="H15" s="986"/>
      <c r="I15" s="986"/>
    </row>
    <row r="16" spans="1:9" ht="18.75" x14ac:dyDescent="0.25">
      <c r="A16" s="986" t="s">
        <v>1215</v>
      </c>
      <c r="B16" s="986"/>
      <c r="C16" s="986"/>
      <c r="D16" s="986"/>
      <c r="E16" s="986"/>
      <c r="F16" s="986"/>
      <c r="G16" s="986"/>
      <c r="H16" s="986"/>
      <c r="I16" s="986"/>
    </row>
    <row r="17" spans="1:9" ht="40.5" customHeight="1" x14ac:dyDescent="0.25">
      <c r="A17" s="986" t="s">
        <v>1220</v>
      </c>
      <c r="B17" s="986"/>
      <c r="C17" s="986"/>
      <c r="D17" s="986"/>
      <c r="E17" s="986"/>
      <c r="F17" s="986"/>
      <c r="G17" s="986"/>
      <c r="H17" s="986"/>
      <c r="I17" s="986"/>
    </row>
    <row r="18" spans="1:9" ht="18.75" x14ac:dyDescent="0.25">
      <c r="A18" s="986" t="s">
        <v>1216</v>
      </c>
      <c r="B18" s="986"/>
      <c r="C18" s="986"/>
      <c r="D18" s="986"/>
      <c r="E18" s="986"/>
      <c r="F18" s="986"/>
      <c r="G18" s="986"/>
      <c r="H18" s="986"/>
      <c r="I18" s="986"/>
    </row>
    <row r="19" spans="1:9" ht="53.25" customHeight="1" x14ac:dyDescent="0.25">
      <c r="A19" s="986" t="s">
        <v>1221</v>
      </c>
      <c r="B19" s="986"/>
      <c r="C19" s="986"/>
      <c r="D19" s="986"/>
      <c r="E19" s="986"/>
      <c r="F19" s="986"/>
      <c r="G19" s="986"/>
      <c r="H19" s="986"/>
      <c r="I19" s="986"/>
    </row>
    <row r="20" spans="1:9" ht="18.75" x14ac:dyDescent="0.25">
      <c r="A20" s="986" t="s">
        <v>1211</v>
      </c>
      <c r="B20" s="986"/>
      <c r="C20" s="986"/>
      <c r="D20" s="986"/>
      <c r="E20" s="986"/>
      <c r="F20" s="986"/>
      <c r="G20" s="986"/>
      <c r="H20" s="986"/>
      <c r="I20" s="986"/>
    </row>
    <row r="21" spans="1:9" ht="18.75" x14ac:dyDescent="0.25">
      <c r="A21" s="986" t="s">
        <v>1212</v>
      </c>
      <c r="B21" s="986"/>
      <c r="C21" s="986"/>
      <c r="D21" s="986"/>
      <c r="E21" s="986"/>
      <c r="F21" s="986"/>
      <c r="G21" s="986"/>
      <c r="H21" s="986"/>
      <c r="I21" s="986"/>
    </row>
    <row r="22" spans="1:9" ht="18.75" x14ac:dyDescent="0.25">
      <c r="A22" s="986" t="s">
        <v>1222</v>
      </c>
      <c r="B22" s="986"/>
      <c r="C22" s="986"/>
      <c r="D22" s="986"/>
      <c r="E22" s="986"/>
      <c r="F22" s="986"/>
      <c r="G22" s="986"/>
      <c r="H22" s="986"/>
      <c r="I22" s="986"/>
    </row>
    <row r="23" spans="1:9" ht="18.75" x14ac:dyDescent="0.25">
      <c r="A23" s="986" t="s">
        <v>1223</v>
      </c>
      <c r="B23" s="986"/>
      <c r="C23" s="986"/>
      <c r="D23" s="986"/>
      <c r="E23" s="986"/>
      <c r="F23" s="986"/>
      <c r="G23" s="986"/>
      <c r="H23" s="986"/>
      <c r="I23" s="986"/>
    </row>
    <row r="24" spans="1:9" ht="18.75" x14ac:dyDescent="0.25">
      <c r="A24" s="986" t="s">
        <v>1215</v>
      </c>
      <c r="B24" s="986"/>
      <c r="C24" s="986"/>
      <c r="D24" s="986"/>
      <c r="E24" s="986"/>
      <c r="F24" s="986"/>
      <c r="G24" s="986"/>
      <c r="H24" s="986"/>
      <c r="I24" s="986"/>
    </row>
    <row r="25" spans="1:9" ht="35.25" customHeight="1" x14ac:dyDescent="0.25">
      <c r="A25" s="986" t="s">
        <v>1224</v>
      </c>
      <c r="B25" s="986"/>
      <c r="C25" s="986"/>
      <c r="D25" s="986"/>
      <c r="E25" s="986"/>
      <c r="F25" s="986"/>
      <c r="G25" s="986"/>
      <c r="H25" s="986"/>
      <c r="I25" s="986"/>
    </row>
    <row r="26" spans="1:9" ht="18.75" x14ac:dyDescent="0.25">
      <c r="A26" s="986" t="s">
        <v>1216</v>
      </c>
      <c r="B26" s="986"/>
      <c r="C26" s="986"/>
      <c r="D26" s="986"/>
      <c r="E26" s="986"/>
      <c r="F26" s="986"/>
      <c r="G26" s="986"/>
      <c r="H26" s="986"/>
      <c r="I26" s="986"/>
    </row>
    <row r="27" spans="1:9" ht="33" customHeight="1" x14ac:dyDescent="0.25">
      <c r="A27" s="986" t="s">
        <v>1225</v>
      </c>
      <c r="B27" s="986"/>
      <c r="C27" s="986"/>
      <c r="D27" s="986"/>
      <c r="E27" s="986"/>
      <c r="F27" s="986"/>
      <c r="G27" s="986"/>
      <c r="H27" s="986"/>
      <c r="I27" s="986"/>
    </row>
    <row r="28" spans="1:9" ht="18.75" x14ac:dyDescent="0.25">
      <c r="A28" s="986" t="s">
        <v>1216</v>
      </c>
      <c r="B28" s="986"/>
      <c r="C28" s="986"/>
      <c r="D28" s="986"/>
      <c r="E28" s="986"/>
      <c r="F28" s="986"/>
      <c r="G28" s="986"/>
      <c r="H28" s="986"/>
      <c r="I28" s="986"/>
    </row>
    <row r="29" spans="1:9" ht="51" customHeight="1" x14ac:dyDescent="0.25">
      <c r="A29" s="986" t="s">
        <v>1226</v>
      </c>
      <c r="B29" s="986"/>
      <c r="C29" s="986"/>
      <c r="D29" s="986"/>
      <c r="E29" s="986"/>
      <c r="F29" s="986"/>
      <c r="G29" s="986"/>
      <c r="H29" s="986"/>
      <c r="I29" s="986"/>
    </row>
    <row r="30" spans="1:9" ht="18.75" x14ac:dyDescent="0.25">
      <c r="A30" s="986" t="s">
        <v>1211</v>
      </c>
      <c r="B30" s="986"/>
      <c r="C30" s="986"/>
      <c r="D30" s="986"/>
      <c r="E30" s="986"/>
      <c r="F30" s="986"/>
      <c r="G30" s="986"/>
      <c r="H30" s="986"/>
      <c r="I30" s="986"/>
    </row>
    <row r="31" spans="1:9" ht="18.75" x14ac:dyDescent="0.25">
      <c r="A31" s="986" t="s">
        <v>1212</v>
      </c>
      <c r="B31" s="986"/>
      <c r="C31" s="986"/>
      <c r="D31" s="986"/>
      <c r="E31" s="986"/>
      <c r="F31" s="986"/>
      <c r="G31" s="986"/>
      <c r="H31" s="986"/>
      <c r="I31" s="986"/>
    </row>
    <row r="32" spans="1:9" ht="18.75" x14ac:dyDescent="0.25">
      <c r="A32" s="986" t="s">
        <v>1213</v>
      </c>
      <c r="B32" s="986"/>
      <c r="C32" s="986"/>
      <c r="D32" s="986"/>
      <c r="E32" s="986"/>
      <c r="F32" s="986"/>
      <c r="G32" s="986"/>
      <c r="H32" s="986"/>
      <c r="I32" s="986"/>
    </row>
    <row r="33" spans="1:9" ht="18.75" x14ac:dyDescent="0.25">
      <c r="A33" s="986" t="s">
        <v>1227</v>
      </c>
      <c r="B33" s="986"/>
      <c r="C33" s="986"/>
      <c r="D33" s="986"/>
      <c r="E33" s="986"/>
      <c r="F33" s="986"/>
      <c r="G33" s="986"/>
      <c r="H33" s="986"/>
      <c r="I33" s="986"/>
    </row>
    <row r="34" spans="1:9" ht="34.5" customHeight="1" x14ac:dyDescent="0.25">
      <c r="A34" s="986" t="s">
        <v>1426</v>
      </c>
      <c r="B34" s="986"/>
      <c r="C34" s="986"/>
      <c r="D34" s="986"/>
      <c r="E34" s="986"/>
      <c r="F34" s="986"/>
      <c r="G34" s="986"/>
      <c r="H34" s="986"/>
      <c r="I34" s="986"/>
    </row>
    <row r="35" spans="1:9" ht="18.75" x14ac:dyDescent="0.25">
      <c r="A35" s="986" t="s">
        <v>1216</v>
      </c>
      <c r="B35" s="986"/>
      <c r="C35" s="986"/>
      <c r="D35" s="986"/>
      <c r="E35" s="986"/>
      <c r="F35" s="986"/>
      <c r="G35" s="986"/>
      <c r="H35" s="986"/>
      <c r="I35" s="986"/>
    </row>
    <row r="36" spans="1:9" ht="54" customHeight="1" x14ac:dyDescent="0.25">
      <c r="A36" s="986" t="s">
        <v>1228</v>
      </c>
      <c r="B36" s="986"/>
      <c r="C36" s="986"/>
      <c r="D36" s="986"/>
      <c r="E36" s="986"/>
      <c r="F36" s="986"/>
      <c r="G36" s="986"/>
      <c r="H36" s="986"/>
      <c r="I36" s="986"/>
    </row>
    <row r="37" spans="1:9" ht="18.75" x14ac:dyDescent="0.25">
      <c r="A37" s="986" t="s">
        <v>1211</v>
      </c>
      <c r="B37" s="986"/>
      <c r="C37" s="986"/>
      <c r="D37" s="986"/>
      <c r="E37" s="986"/>
      <c r="F37" s="986"/>
      <c r="G37" s="986"/>
      <c r="H37" s="986"/>
      <c r="I37" s="986"/>
    </row>
    <row r="38" spans="1:9" ht="18.75" x14ac:dyDescent="0.25">
      <c r="A38" s="986" t="s">
        <v>1212</v>
      </c>
      <c r="B38" s="986"/>
      <c r="C38" s="986"/>
      <c r="D38" s="986"/>
      <c r="E38" s="986"/>
      <c r="F38" s="986"/>
      <c r="G38" s="986"/>
      <c r="H38" s="986"/>
      <c r="I38" s="986"/>
    </row>
    <row r="39" spans="1:9" ht="18.75" x14ac:dyDescent="0.25">
      <c r="A39" s="986" t="s">
        <v>1213</v>
      </c>
      <c r="B39" s="986"/>
      <c r="C39" s="986"/>
      <c r="D39" s="986"/>
      <c r="E39" s="986"/>
      <c r="F39" s="986"/>
      <c r="G39" s="986"/>
      <c r="H39" s="986"/>
      <c r="I39" s="986"/>
    </row>
    <row r="40" spans="1:9" ht="18.75" x14ac:dyDescent="0.25">
      <c r="A40" s="986" t="s">
        <v>1227</v>
      </c>
      <c r="B40" s="986"/>
      <c r="C40" s="986"/>
      <c r="D40" s="986"/>
      <c r="E40" s="986"/>
      <c r="F40" s="986"/>
      <c r="G40" s="986"/>
      <c r="H40" s="986"/>
      <c r="I40" s="986"/>
    </row>
    <row r="41" spans="1:9" ht="39.75" customHeight="1" x14ac:dyDescent="0.25">
      <c r="A41" s="986" t="s">
        <v>1229</v>
      </c>
      <c r="B41" s="986"/>
      <c r="C41" s="986"/>
      <c r="D41" s="986"/>
      <c r="E41" s="986"/>
      <c r="F41" s="986"/>
      <c r="G41" s="986"/>
      <c r="H41" s="986"/>
      <c r="I41" s="986"/>
    </row>
    <row r="42" spans="1:9" ht="18.75" x14ac:dyDescent="0.25">
      <c r="A42" s="986" t="s">
        <v>1216</v>
      </c>
      <c r="B42" s="986"/>
      <c r="C42" s="986"/>
      <c r="D42" s="986"/>
      <c r="E42" s="986"/>
      <c r="F42" s="986"/>
      <c r="G42" s="986"/>
      <c r="H42" s="986"/>
      <c r="I42" s="986"/>
    </row>
    <row r="43" spans="1:9" ht="52.5" customHeight="1" x14ac:dyDescent="0.25">
      <c r="A43" s="986" t="s">
        <v>1230</v>
      </c>
      <c r="B43" s="986"/>
      <c r="C43" s="986"/>
      <c r="D43" s="986"/>
      <c r="E43" s="986"/>
      <c r="F43" s="986"/>
      <c r="G43" s="986"/>
      <c r="H43" s="986"/>
      <c r="I43" s="986"/>
    </row>
    <row r="44" spans="1:9" ht="18.75" x14ac:dyDescent="0.25">
      <c r="A44" s="986" t="s">
        <v>1249</v>
      </c>
      <c r="B44" s="986"/>
      <c r="C44" s="986"/>
      <c r="D44" s="986"/>
      <c r="E44" s="986"/>
      <c r="F44" s="986"/>
      <c r="G44" s="986"/>
      <c r="H44" s="986"/>
      <c r="I44" s="986"/>
    </row>
    <row r="45" spans="1:9" ht="18.75" x14ac:dyDescent="0.25">
      <c r="A45" s="986" t="s">
        <v>1250</v>
      </c>
      <c r="B45" s="986"/>
      <c r="C45" s="986"/>
      <c r="D45" s="986"/>
      <c r="E45" s="986"/>
      <c r="F45" s="986"/>
      <c r="G45" s="986"/>
      <c r="H45" s="986"/>
      <c r="I45" s="986"/>
    </row>
    <row r="46" spans="1:9" ht="36" customHeight="1" x14ac:dyDescent="0.25">
      <c r="A46" s="986" t="s">
        <v>1427</v>
      </c>
      <c r="B46" s="986"/>
      <c r="C46" s="986"/>
      <c r="D46" s="986"/>
      <c r="E46" s="986"/>
      <c r="F46" s="986"/>
      <c r="G46" s="986"/>
      <c r="H46" s="986"/>
      <c r="I46" s="986"/>
    </row>
    <row r="47" spans="1:9" ht="18.75" x14ac:dyDescent="0.25">
      <c r="A47" s="986" t="s">
        <v>1231</v>
      </c>
      <c r="B47" s="986"/>
      <c r="C47" s="986"/>
      <c r="D47" s="986"/>
      <c r="E47" s="986"/>
      <c r="F47" s="986"/>
      <c r="G47" s="986"/>
      <c r="H47" s="986"/>
      <c r="I47" s="986"/>
    </row>
    <row r="48" spans="1:9" ht="56.25" customHeight="1" x14ac:dyDescent="0.25">
      <c r="A48" s="986" t="s">
        <v>1232</v>
      </c>
      <c r="B48" s="986"/>
      <c r="C48" s="986"/>
      <c r="D48" s="986"/>
      <c r="E48" s="986"/>
      <c r="F48" s="986"/>
      <c r="G48" s="986"/>
      <c r="H48" s="986"/>
      <c r="I48" s="986"/>
    </row>
    <row r="49" spans="1:9" ht="18.75" x14ac:dyDescent="0.25">
      <c r="A49" s="986" t="s">
        <v>1233</v>
      </c>
      <c r="B49" s="986"/>
      <c r="C49" s="986"/>
      <c r="D49" s="986"/>
      <c r="E49" s="986"/>
      <c r="F49" s="986"/>
      <c r="G49" s="986"/>
      <c r="H49" s="986"/>
      <c r="I49" s="986"/>
    </row>
    <row r="50" spans="1:9" ht="18.75" x14ac:dyDescent="0.25">
      <c r="A50" s="986" t="s">
        <v>1234</v>
      </c>
      <c r="B50" s="986"/>
      <c r="C50" s="986"/>
      <c r="D50" s="986"/>
      <c r="E50" s="986"/>
      <c r="F50" s="986"/>
      <c r="G50" s="986"/>
      <c r="H50" s="986"/>
      <c r="I50" s="986"/>
    </row>
    <row r="51" spans="1:9" ht="19.5" x14ac:dyDescent="0.25">
      <c r="A51" s="988" t="s">
        <v>1235</v>
      </c>
      <c r="B51" s="988"/>
      <c r="C51" s="988"/>
      <c r="D51" s="988"/>
      <c r="E51" s="988"/>
      <c r="F51" s="988"/>
      <c r="G51" s="988"/>
      <c r="H51" s="988"/>
      <c r="I51" s="988"/>
    </row>
    <row r="52" spans="1:9" ht="56.25" customHeight="1" x14ac:dyDescent="0.25">
      <c r="A52" s="986" t="s">
        <v>1236</v>
      </c>
      <c r="B52" s="986"/>
      <c r="C52" s="986"/>
      <c r="D52" s="986"/>
      <c r="E52" s="986"/>
      <c r="F52" s="986"/>
      <c r="G52" s="986"/>
      <c r="H52" s="986"/>
      <c r="I52" s="986"/>
    </row>
    <row r="53" spans="1:9" ht="18.75" x14ac:dyDescent="0.25">
      <c r="A53" s="986" t="s">
        <v>1237</v>
      </c>
      <c r="B53" s="986"/>
      <c r="C53" s="986"/>
      <c r="D53" s="986"/>
      <c r="E53" s="986"/>
      <c r="F53" s="986"/>
      <c r="G53" s="986"/>
      <c r="H53" s="986"/>
      <c r="I53" s="986"/>
    </row>
    <row r="54" spans="1:9" ht="36" customHeight="1" x14ac:dyDescent="0.25">
      <c r="A54" s="986" t="s">
        <v>1238</v>
      </c>
      <c r="B54" s="986"/>
      <c r="C54" s="986"/>
      <c r="D54" s="986"/>
      <c r="E54" s="986"/>
      <c r="F54" s="986"/>
      <c r="G54" s="986"/>
      <c r="H54" s="986"/>
      <c r="I54" s="986"/>
    </row>
    <row r="55" spans="1:9" ht="39" customHeight="1" x14ac:dyDescent="0.25">
      <c r="A55" s="986" t="s">
        <v>1239</v>
      </c>
      <c r="B55" s="986"/>
      <c r="C55" s="986"/>
      <c r="D55" s="986"/>
      <c r="E55" s="986"/>
      <c r="F55" s="986"/>
      <c r="G55" s="986"/>
      <c r="H55" s="986"/>
      <c r="I55" s="986"/>
    </row>
    <row r="56" spans="1:9" ht="20.25" customHeight="1" x14ac:dyDescent="0.25">
      <c r="A56" s="986" t="s">
        <v>1240</v>
      </c>
      <c r="B56" s="986"/>
      <c r="C56" s="986"/>
      <c r="D56" s="986"/>
      <c r="E56" s="986"/>
      <c r="F56" s="986"/>
      <c r="G56" s="986"/>
      <c r="H56" s="986"/>
      <c r="I56" s="986"/>
    </row>
    <row r="57" spans="1:9" ht="51.75" customHeight="1" x14ac:dyDescent="0.25">
      <c r="A57" s="986" t="s">
        <v>1241</v>
      </c>
      <c r="B57" s="986"/>
      <c r="C57" s="986"/>
      <c r="D57" s="986"/>
      <c r="E57" s="986"/>
      <c r="F57" s="986"/>
      <c r="G57" s="986"/>
      <c r="H57" s="986"/>
      <c r="I57" s="986"/>
    </row>
    <row r="58" spans="1:9" ht="33" customHeight="1" x14ac:dyDescent="0.25">
      <c r="A58" s="986" t="s">
        <v>1242</v>
      </c>
      <c r="B58" s="986"/>
      <c r="C58" s="986"/>
      <c r="D58" s="986"/>
      <c r="E58" s="986"/>
      <c r="F58" s="986"/>
      <c r="G58" s="986"/>
      <c r="H58" s="986"/>
      <c r="I58" s="986"/>
    </row>
    <row r="59" spans="1:9" ht="54" customHeight="1" x14ac:dyDescent="0.25">
      <c r="A59" s="986" t="s">
        <v>1243</v>
      </c>
      <c r="B59" s="986"/>
      <c r="C59" s="986"/>
      <c r="D59" s="986"/>
      <c r="E59" s="986"/>
      <c r="F59" s="986"/>
      <c r="G59" s="986"/>
      <c r="H59" s="986"/>
      <c r="I59" s="986"/>
    </row>
    <row r="60" spans="1:9" ht="18.75" x14ac:dyDescent="0.25">
      <c r="A60" s="986" t="s">
        <v>1237</v>
      </c>
      <c r="B60" s="986"/>
      <c r="C60" s="986"/>
      <c r="D60" s="986"/>
      <c r="E60" s="986"/>
      <c r="F60" s="986"/>
      <c r="G60" s="986"/>
      <c r="H60" s="986"/>
      <c r="I60" s="986"/>
    </row>
    <row r="61" spans="1:9" ht="39" customHeight="1" x14ac:dyDescent="0.25">
      <c r="A61" s="986" t="s">
        <v>1238</v>
      </c>
      <c r="B61" s="986"/>
      <c r="C61" s="986"/>
      <c r="D61" s="986"/>
      <c r="E61" s="986"/>
      <c r="F61" s="986"/>
      <c r="G61" s="986"/>
      <c r="H61" s="986"/>
      <c r="I61" s="986"/>
    </row>
    <row r="62" spans="1:9" ht="34.5" customHeight="1" x14ac:dyDescent="0.25">
      <c r="A62" s="986" t="s">
        <v>1264</v>
      </c>
      <c r="B62" s="986"/>
      <c r="C62" s="986"/>
      <c r="D62" s="986"/>
      <c r="E62" s="986"/>
      <c r="F62" s="986"/>
      <c r="G62" s="986"/>
      <c r="H62" s="986"/>
      <c r="I62" s="986"/>
    </row>
    <row r="63" spans="1:9" ht="34.5" customHeight="1" x14ac:dyDescent="0.25">
      <c r="A63" s="986" t="s">
        <v>1240</v>
      </c>
      <c r="B63" s="986"/>
      <c r="C63" s="986"/>
      <c r="D63" s="986"/>
      <c r="E63" s="986"/>
      <c r="F63" s="986"/>
      <c r="G63" s="986"/>
      <c r="H63" s="986"/>
      <c r="I63" s="986"/>
    </row>
    <row r="64" spans="1:9" ht="52.5" customHeight="1" x14ac:dyDescent="0.25">
      <c r="A64" s="986" t="s">
        <v>1265</v>
      </c>
      <c r="B64" s="986"/>
      <c r="C64" s="986"/>
      <c r="D64" s="986"/>
      <c r="E64" s="986"/>
      <c r="F64" s="986"/>
      <c r="G64" s="986"/>
      <c r="H64" s="986"/>
      <c r="I64" s="986"/>
    </row>
    <row r="65" spans="1:11" ht="40.5" customHeight="1" x14ac:dyDescent="0.25">
      <c r="A65" s="986" t="s">
        <v>1242</v>
      </c>
      <c r="B65" s="986"/>
      <c r="C65" s="986"/>
      <c r="D65" s="986"/>
      <c r="E65" s="986"/>
      <c r="F65" s="986"/>
      <c r="G65" s="986"/>
      <c r="H65" s="986"/>
      <c r="I65" s="986"/>
    </row>
    <row r="66" spans="1:11" ht="51" customHeight="1" x14ac:dyDescent="0.25">
      <c r="A66" s="986" t="s">
        <v>1266</v>
      </c>
      <c r="B66" s="986"/>
      <c r="C66" s="986"/>
      <c r="D66" s="986"/>
      <c r="E66" s="986"/>
      <c r="F66" s="986"/>
      <c r="G66" s="986"/>
      <c r="H66" s="986"/>
      <c r="I66" s="986"/>
    </row>
    <row r="67" spans="1:11" ht="18.75" x14ac:dyDescent="0.25">
      <c r="A67" s="986" t="s">
        <v>1237</v>
      </c>
      <c r="B67" s="986"/>
      <c r="C67" s="986"/>
      <c r="D67" s="986"/>
      <c r="E67" s="986"/>
      <c r="F67" s="986"/>
      <c r="G67" s="986"/>
      <c r="H67" s="986"/>
      <c r="I67" s="986"/>
    </row>
    <row r="68" spans="1:11" ht="38.25" customHeight="1" x14ac:dyDescent="0.25">
      <c r="A68" s="986" t="s">
        <v>1238</v>
      </c>
      <c r="B68" s="986"/>
      <c r="C68" s="986"/>
      <c r="D68" s="986"/>
      <c r="E68" s="986"/>
      <c r="F68" s="986"/>
      <c r="G68" s="986"/>
      <c r="H68" s="986"/>
      <c r="I68" s="986"/>
    </row>
    <row r="69" spans="1:11" ht="33.75" customHeight="1" x14ac:dyDescent="0.25">
      <c r="A69" s="986" t="s">
        <v>1267</v>
      </c>
      <c r="B69" s="986"/>
      <c r="C69" s="986"/>
      <c r="D69" s="986"/>
      <c r="E69" s="986"/>
      <c r="F69" s="986"/>
      <c r="G69" s="986"/>
      <c r="H69" s="986"/>
      <c r="I69" s="986"/>
    </row>
    <row r="70" spans="1:11" ht="18.75" x14ac:dyDescent="0.25">
      <c r="A70" s="986" t="s">
        <v>1240</v>
      </c>
      <c r="B70" s="986"/>
      <c r="C70" s="986"/>
      <c r="D70" s="986"/>
      <c r="E70" s="986"/>
      <c r="F70" s="986"/>
      <c r="G70" s="986"/>
      <c r="H70" s="986"/>
      <c r="I70" s="986"/>
    </row>
    <row r="71" spans="1:11" ht="38.25" customHeight="1" x14ac:dyDescent="0.25">
      <c r="A71" s="986" t="s">
        <v>1428</v>
      </c>
      <c r="B71" s="986"/>
      <c r="C71" s="986"/>
      <c r="D71" s="986"/>
      <c r="E71" s="986"/>
      <c r="F71" s="986"/>
      <c r="G71" s="986"/>
      <c r="H71" s="986"/>
      <c r="I71" s="986"/>
    </row>
    <row r="72" spans="1:11" ht="36" customHeight="1" x14ac:dyDescent="0.25">
      <c r="A72" s="986" t="s">
        <v>1268</v>
      </c>
      <c r="B72" s="986"/>
      <c r="C72" s="986"/>
      <c r="D72" s="986"/>
      <c r="E72" s="986"/>
      <c r="F72" s="986"/>
      <c r="G72" s="986"/>
      <c r="H72" s="986"/>
      <c r="I72" s="986"/>
    </row>
    <row r="73" spans="1:11" ht="19.5" x14ac:dyDescent="0.25">
      <c r="A73" s="988" t="s">
        <v>1269</v>
      </c>
      <c r="B73" s="988"/>
      <c r="C73" s="988"/>
      <c r="D73" s="988"/>
      <c r="E73" s="988"/>
      <c r="F73" s="988"/>
      <c r="G73" s="988"/>
      <c r="H73" s="988"/>
      <c r="I73" s="988"/>
    </row>
    <row r="74" spans="1:11" ht="38.25" customHeight="1" x14ac:dyDescent="0.25">
      <c r="A74" s="986" t="s">
        <v>1275</v>
      </c>
      <c r="B74" s="986"/>
      <c r="C74" s="986"/>
      <c r="D74" s="986"/>
      <c r="E74" s="986"/>
      <c r="F74" s="986"/>
      <c r="G74" s="986"/>
      <c r="H74" s="986"/>
      <c r="I74" s="986"/>
    </row>
    <row r="75" spans="1:11" ht="19.5" x14ac:dyDescent="0.25">
      <c r="A75" s="988" t="s">
        <v>1270</v>
      </c>
      <c r="B75" s="988"/>
      <c r="C75" s="988"/>
      <c r="D75" s="988"/>
      <c r="E75" s="988"/>
      <c r="F75" s="988"/>
      <c r="G75" s="988"/>
      <c r="H75" s="988"/>
      <c r="I75" s="988"/>
    </row>
    <row r="76" spans="1:11" ht="36.75" customHeight="1" x14ac:dyDescent="0.25">
      <c r="A76" s="986" t="s">
        <v>1276</v>
      </c>
      <c r="B76" s="986"/>
      <c r="C76" s="986"/>
      <c r="D76" s="986"/>
      <c r="E76" s="986"/>
      <c r="F76" s="986"/>
      <c r="G76" s="986"/>
      <c r="H76" s="986"/>
      <c r="I76" s="986"/>
    </row>
    <row r="77" spans="1:11" ht="19.5" x14ac:dyDescent="0.25">
      <c r="A77" s="988" t="s">
        <v>1271</v>
      </c>
      <c r="B77" s="988"/>
      <c r="C77" s="988"/>
      <c r="D77" s="988"/>
      <c r="E77" s="988"/>
      <c r="F77" s="988"/>
      <c r="G77" s="988"/>
      <c r="H77" s="988"/>
      <c r="I77" s="988"/>
    </row>
    <row r="78" spans="1:11" ht="35.25" customHeight="1" x14ac:dyDescent="0.25">
      <c r="A78" s="986" t="s">
        <v>1277</v>
      </c>
      <c r="B78" s="986"/>
      <c r="C78" s="986"/>
      <c r="D78" s="986"/>
      <c r="E78" s="986"/>
      <c r="F78" s="986"/>
      <c r="G78" s="986"/>
      <c r="H78" s="986"/>
      <c r="I78" s="986"/>
    </row>
    <row r="79" spans="1:11" ht="19.5" x14ac:dyDescent="0.25">
      <c r="A79" s="988" t="s">
        <v>1272</v>
      </c>
      <c r="B79" s="988"/>
      <c r="C79" s="988"/>
      <c r="D79" s="988"/>
      <c r="E79" s="988"/>
      <c r="F79" s="988"/>
      <c r="G79" s="988"/>
      <c r="H79" s="988"/>
      <c r="I79" s="988"/>
    </row>
    <row r="80" spans="1:11" ht="35.25" customHeight="1" x14ac:dyDescent="0.25">
      <c r="A80" s="986" t="s">
        <v>1429</v>
      </c>
      <c r="B80" s="986"/>
      <c r="C80" s="986"/>
      <c r="D80" s="986"/>
      <c r="E80" s="986"/>
      <c r="F80" s="986"/>
      <c r="G80" s="986"/>
      <c r="H80" s="986"/>
      <c r="I80" s="986"/>
      <c r="K80" s="543"/>
    </row>
    <row r="81" spans="1:9" ht="19.5" x14ac:dyDescent="0.25">
      <c r="A81" s="988" t="s">
        <v>1273</v>
      </c>
      <c r="B81" s="988"/>
      <c r="C81" s="988"/>
      <c r="D81" s="988"/>
      <c r="E81" s="988"/>
      <c r="F81" s="988"/>
      <c r="G81" s="988"/>
      <c r="H81" s="988"/>
      <c r="I81" s="988"/>
    </row>
    <row r="82" spans="1:9" ht="36.75" customHeight="1" x14ac:dyDescent="0.25">
      <c r="A82" s="986" t="s">
        <v>1278</v>
      </c>
      <c r="B82" s="986"/>
      <c r="C82" s="986"/>
      <c r="D82" s="986"/>
      <c r="E82" s="986"/>
      <c r="F82" s="986"/>
      <c r="G82" s="986"/>
      <c r="H82" s="986"/>
      <c r="I82" s="986"/>
    </row>
    <row r="83" spans="1:9" ht="19.5" x14ac:dyDescent="0.25">
      <c r="A83" s="988" t="s">
        <v>1274</v>
      </c>
      <c r="B83" s="988"/>
      <c r="C83" s="988"/>
      <c r="D83" s="988"/>
      <c r="E83" s="988"/>
      <c r="F83" s="988"/>
      <c r="G83" s="988"/>
      <c r="H83" s="988"/>
      <c r="I83" s="988"/>
    </row>
    <row r="84" spans="1:9" ht="228.75" customHeight="1" x14ac:dyDescent="0.25">
      <c r="A84" s="993" t="s">
        <v>1430</v>
      </c>
      <c r="B84" s="993"/>
      <c r="C84" s="993"/>
      <c r="D84" s="993"/>
      <c r="E84" s="993"/>
      <c r="F84" s="993"/>
      <c r="G84" s="993"/>
      <c r="H84" s="993"/>
      <c r="I84" s="993"/>
    </row>
    <row r="85" spans="1:9" ht="37.5" customHeight="1" x14ac:dyDescent="0.25">
      <c r="A85" s="993" t="s">
        <v>1431</v>
      </c>
      <c r="B85" s="993"/>
      <c r="C85" s="993"/>
      <c r="D85" s="993"/>
      <c r="E85" s="993"/>
      <c r="F85" s="993"/>
      <c r="G85" s="993"/>
      <c r="H85" s="993"/>
      <c r="I85" s="993"/>
    </row>
    <row r="86" spans="1:9" ht="37.5" customHeight="1" x14ac:dyDescent="0.25">
      <c r="A86" s="993" t="s">
        <v>1279</v>
      </c>
      <c r="B86" s="993"/>
      <c r="C86" s="993"/>
      <c r="D86" s="993"/>
      <c r="E86" s="993"/>
      <c r="F86" s="993"/>
      <c r="G86" s="993"/>
      <c r="H86" s="993"/>
      <c r="I86" s="993"/>
    </row>
    <row r="87" spans="1:9" ht="38.25" customHeight="1" x14ac:dyDescent="0.25">
      <c r="A87" s="992" t="s">
        <v>1286</v>
      </c>
      <c r="B87" s="992"/>
      <c r="C87" s="992"/>
      <c r="D87" s="992"/>
      <c r="E87" s="992"/>
      <c r="F87" s="992"/>
      <c r="G87" s="992"/>
      <c r="H87" s="992"/>
      <c r="I87" s="992"/>
    </row>
    <row r="88" spans="1:9" ht="32.25" customHeight="1" x14ac:dyDescent="0.25">
      <c r="A88" s="986" t="s">
        <v>1432</v>
      </c>
      <c r="B88" s="986"/>
      <c r="C88" s="986"/>
      <c r="D88" s="986"/>
      <c r="E88" s="986"/>
      <c r="F88" s="986"/>
      <c r="G88" s="986"/>
      <c r="H88" s="986"/>
      <c r="I88" s="986"/>
    </row>
    <row r="89" spans="1:9" ht="56.25" customHeight="1" x14ac:dyDescent="0.25">
      <c r="A89" s="986" t="s">
        <v>1433</v>
      </c>
      <c r="B89" s="986"/>
      <c r="C89" s="986"/>
      <c r="D89" s="986"/>
      <c r="E89" s="986"/>
      <c r="F89" s="986"/>
      <c r="G89" s="986"/>
      <c r="H89" s="986"/>
      <c r="I89" s="986"/>
    </row>
    <row r="90" spans="1:9" ht="38.25" customHeight="1" x14ac:dyDescent="0.25">
      <c r="A90" s="986" t="s">
        <v>1434</v>
      </c>
      <c r="B90" s="986"/>
      <c r="C90" s="986"/>
      <c r="D90" s="986"/>
      <c r="E90" s="986"/>
      <c r="F90" s="986"/>
      <c r="G90" s="986"/>
      <c r="H90" s="986"/>
      <c r="I90" s="986"/>
    </row>
    <row r="91" spans="1:9" ht="35.25" customHeight="1" x14ac:dyDescent="0.25">
      <c r="A91" s="986" t="s">
        <v>1435</v>
      </c>
      <c r="B91" s="986"/>
      <c r="C91" s="986"/>
      <c r="D91" s="986"/>
      <c r="E91" s="986"/>
      <c r="F91" s="986"/>
      <c r="G91" s="986"/>
      <c r="H91" s="986"/>
      <c r="I91" s="986"/>
    </row>
    <row r="92" spans="1:9" ht="55.5" customHeight="1" x14ac:dyDescent="0.25">
      <c r="A92" s="986" t="s">
        <v>1287</v>
      </c>
      <c r="B92" s="986"/>
      <c r="C92" s="986"/>
      <c r="D92" s="986"/>
      <c r="E92" s="986"/>
      <c r="F92" s="986"/>
      <c r="G92" s="986"/>
      <c r="H92" s="986"/>
      <c r="I92" s="986"/>
    </row>
    <row r="93" spans="1:9" ht="38.1" customHeight="1" x14ac:dyDescent="0.25">
      <c r="A93" s="986" t="s">
        <v>1436</v>
      </c>
      <c r="B93" s="986"/>
      <c r="C93" s="986"/>
      <c r="D93" s="986"/>
      <c r="E93" s="986"/>
      <c r="F93" s="986"/>
      <c r="G93" s="986"/>
      <c r="H93" s="986"/>
      <c r="I93" s="986"/>
    </row>
    <row r="94" spans="1:9" ht="38.1" customHeight="1" x14ac:dyDescent="0.25">
      <c r="A94" s="986" t="s">
        <v>1437</v>
      </c>
      <c r="B94" s="986"/>
      <c r="C94" s="986"/>
      <c r="D94" s="986"/>
      <c r="E94" s="986"/>
      <c r="F94" s="986"/>
      <c r="G94" s="986"/>
      <c r="H94" s="986"/>
      <c r="I94" s="986"/>
    </row>
    <row r="95" spans="1:9" ht="19.5" x14ac:dyDescent="0.25">
      <c r="A95" s="988" t="s">
        <v>1288</v>
      </c>
      <c r="B95" s="988"/>
      <c r="C95" s="988"/>
      <c r="D95" s="988"/>
      <c r="E95" s="988"/>
      <c r="F95" s="988"/>
      <c r="G95" s="988"/>
      <c r="H95" s="988"/>
      <c r="I95" s="988"/>
    </row>
    <row r="96" spans="1:9" ht="38.1" customHeight="1" x14ac:dyDescent="0.25">
      <c r="A96" s="986" t="s">
        <v>1438</v>
      </c>
      <c r="B96" s="986"/>
      <c r="C96" s="986"/>
      <c r="D96" s="986"/>
      <c r="E96" s="986"/>
      <c r="F96" s="986"/>
      <c r="G96" s="986"/>
      <c r="H96" s="986"/>
      <c r="I96" s="986"/>
    </row>
    <row r="97" spans="1:9" ht="38.1" customHeight="1" x14ac:dyDescent="0.25">
      <c r="A97" s="986" t="s">
        <v>1289</v>
      </c>
      <c r="B97" s="986"/>
      <c r="C97" s="986"/>
      <c r="D97" s="986"/>
      <c r="E97" s="986"/>
      <c r="F97" s="986"/>
      <c r="G97" s="986"/>
      <c r="H97" s="986"/>
      <c r="I97" s="986"/>
    </row>
    <row r="98" spans="1:9" ht="38.1" customHeight="1" x14ac:dyDescent="0.25">
      <c r="A98" s="986" t="s">
        <v>1439</v>
      </c>
      <c r="B98" s="986"/>
      <c r="C98" s="986"/>
      <c r="D98" s="986"/>
      <c r="E98" s="986"/>
      <c r="F98" s="986"/>
      <c r="G98" s="986"/>
      <c r="H98" s="986"/>
      <c r="I98" s="986"/>
    </row>
    <row r="99" spans="1:9" ht="38.1" customHeight="1" x14ac:dyDescent="0.25">
      <c r="A99" s="986" t="s">
        <v>1290</v>
      </c>
      <c r="B99" s="986"/>
      <c r="C99" s="986"/>
      <c r="D99" s="986"/>
      <c r="E99" s="986"/>
      <c r="F99" s="986"/>
      <c r="G99" s="986"/>
      <c r="H99" s="986"/>
      <c r="I99" s="986"/>
    </row>
    <row r="100" spans="1:9" ht="38.1" customHeight="1" x14ac:dyDescent="0.25">
      <c r="A100" s="986" t="s">
        <v>1440</v>
      </c>
      <c r="B100" s="986"/>
      <c r="C100" s="986"/>
      <c r="D100" s="986"/>
      <c r="E100" s="986"/>
      <c r="F100" s="986"/>
      <c r="G100" s="986"/>
      <c r="H100" s="986"/>
      <c r="I100" s="986"/>
    </row>
    <row r="101" spans="1:9" ht="38.1" customHeight="1" x14ac:dyDescent="0.25">
      <c r="A101" s="986" t="s">
        <v>1291</v>
      </c>
      <c r="B101" s="986"/>
      <c r="C101" s="986"/>
      <c r="D101" s="986"/>
      <c r="E101" s="986"/>
      <c r="F101" s="986"/>
      <c r="G101" s="986"/>
      <c r="H101" s="986"/>
      <c r="I101" s="986"/>
    </row>
    <row r="102" spans="1:9" ht="38.1" customHeight="1" x14ac:dyDescent="0.25">
      <c r="A102" s="986" t="s">
        <v>1292</v>
      </c>
      <c r="B102" s="986"/>
      <c r="C102" s="986"/>
      <c r="D102" s="986"/>
      <c r="E102" s="986"/>
      <c r="F102" s="986"/>
      <c r="G102" s="986"/>
      <c r="H102" s="986"/>
      <c r="I102" s="986"/>
    </row>
    <row r="103" spans="1:9" ht="38.1" customHeight="1" x14ac:dyDescent="0.25">
      <c r="A103" s="986" t="s">
        <v>1293</v>
      </c>
      <c r="B103" s="986"/>
      <c r="C103" s="986"/>
      <c r="D103" s="986"/>
      <c r="E103" s="986"/>
      <c r="F103" s="986"/>
      <c r="G103" s="986"/>
      <c r="H103" s="986"/>
      <c r="I103" s="986"/>
    </row>
    <row r="104" spans="1:9" ht="38.1" customHeight="1" x14ac:dyDescent="0.25">
      <c r="A104" s="986" t="s">
        <v>1441</v>
      </c>
      <c r="B104" s="986"/>
      <c r="C104" s="986"/>
      <c r="D104" s="986"/>
      <c r="E104" s="986"/>
      <c r="F104" s="986"/>
      <c r="G104" s="986"/>
      <c r="H104" s="986"/>
      <c r="I104" s="986"/>
    </row>
    <row r="105" spans="1:9" ht="38.1" customHeight="1" x14ac:dyDescent="0.25">
      <c r="A105" s="986" t="s">
        <v>1294</v>
      </c>
      <c r="B105" s="986"/>
      <c r="C105" s="986"/>
      <c r="D105" s="986"/>
      <c r="E105" s="986"/>
      <c r="F105" s="986"/>
      <c r="G105" s="986"/>
      <c r="H105" s="986"/>
      <c r="I105" s="986"/>
    </row>
    <row r="106" spans="1:9" ht="38.1" customHeight="1" x14ac:dyDescent="0.25">
      <c r="A106" s="986" t="s">
        <v>1295</v>
      </c>
      <c r="B106" s="986"/>
      <c r="C106" s="986"/>
      <c r="D106" s="986"/>
      <c r="E106" s="986"/>
      <c r="F106" s="986"/>
      <c r="G106" s="986"/>
      <c r="H106" s="986"/>
      <c r="I106" s="986"/>
    </row>
    <row r="107" spans="1:9" ht="38.1" customHeight="1" x14ac:dyDescent="0.25">
      <c r="A107" s="986" t="s">
        <v>1296</v>
      </c>
      <c r="B107" s="986"/>
      <c r="C107" s="986"/>
      <c r="D107" s="986"/>
      <c r="E107" s="986"/>
      <c r="F107" s="986"/>
      <c r="G107" s="986"/>
      <c r="H107" s="986"/>
      <c r="I107" s="986"/>
    </row>
    <row r="108" spans="1:9" ht="38.1" customHeight="1" x14ac:dyDescent="0.25">
      <c r="A108" s="986" t="s">
        <v>1297</v>
      </c>
      <c r="B108" s="986"/>
      <c r="C108" s="986"/>
      <c r="D108" s="986"/>
      <c r="E108" s="986"/>
      <c r="F108" s="986"/>
      <c r="G108" s="986"/>
      <c r="H108" s="986"/>
      <c r="I108" s="986"/>
    </row>
    <row r="109" spans="1:9" ht="60" customHeight="1" x14ac:dyDescent="0.25">
      <c r="A109" s="986" t="s">
        <v>1298</v>
      </c>
      <c r="B109" s="986"/>
      <c r="C109" s="986"/>
      <c r="D109" s="986"/>
      <c r="E109" s="986"/>
      <c r="F109" s="986"/>
      <c r="G109" s="986"/>
      <c r="H109" s="986"/>
      <c r="I109" s="986"/>
    </row>
    <row r="110" spans="1:9" ht="38.1" customHeight="1" x14ac:dyDescent="0.25">
      <c r="A110" s="986" t="s">
        <v>1299</v>
      </c>
      <c r="B110" s="986"/>
      <c r="C110" s="986"/>
      <c r="D110" s="986"/>
      <c r="E110" s="986"/>
      <c r="F110" s="986"/>
      <c r="G110" s="986"/>
      <c r="H110" s="986"/>
      <c r="I110" s="986"/>
    </row>
    <row r="111" spans="1:9" ht="38.1" customHeight="1" x14ac:dyDescent="0.25">
      <c r="A111" s="986" t="s">
        <v>1300</v>
      </c>
      <c r="B111" s="986"/>
      <c r="C111" s="986"/>
      <c r="D111" s="986"/>
      <c r="E111" s="986"/>
      <c r="F111" s="986"/>
      <c r="G111" s="986"/>
      <c r="H111" s="986"/>
      <c r="I111" s="986"/>
    </row>
    <row r="112" spans="1:9" ht="38.1" customHeight="1" x14ac:dyDescent="0.25">
      <c r="A112" s="986" t="s">
        <v>1301</v>
      </c>
      <c r="B112" s="986"/>
      <c r="C112" s="986"/>
      <c r="D112" s="986"/>
      <c r="E112" s="986"/>
      <c r="F112" s="986"/>
      <c r="G112" s="986"/>
      <c r="H112" s="986"/>
      <c r="I112" s="986"/>
    </row>
    <row r="113" spans="1:9" ht="38.1" customHeight="1" x14ac:dyDescent="0.25">
      <c r="A113" s="986" t="s">
        <v>1302</v>
      </c>
      <c r="B113" s="986"/>
      <c r="C113" s="986"/>
      <c r="D113" s="986"/>
      <c r="E113" s="986"/>
      <c r="F113" s="986"/>
      <c r="G113" s="986"/>
      <c r="H113" s="986"/>
      <c r="I113" s="986"/>
    </row>
    <row r="114" spans="1:9" ht="38.1" customHeight="1" x14ac:dyDescent="0.25">
      <c r="A114" s="986" t="s">
        <v>1303</v>
      </c>
      <c r="B114" s="986"/>
      <c r="C114" s="986"/>
      <c r="D114" s="986"/>
      <c r="E114" s="986"/>
      <c r="F114" s="986"/>
      <c r="G114" s="986"/>
      <c r="H114" s="986"/>
      <c r="I114" s="986"/>
    </row>
    <row r="115" spans="1:9" ht="38.1" customHeight="1" x14ac:dyDescent="0.25">
      <c r="A115" s="986" t="s">
        <v>1304</v>
      </c>
      <c r="B115" s="986"/>
      <c r="C115" s="986"/>
      <c r="D115" s="986"/>
      <c r="E115" s="986"/>
      <c r="F115" s="986"/>
      <c r="G115" s="986"/>
      <c r="H115" s="986"/>
      <c r="I115" s="986"/>
    </row>
    <row r="116" spans="1:9" ht="38.1" customHeight="1" x14ac:dyDescent="0.25">
      <c r="A116" s="986" t="s">
        <v>1305</v>
      </c>
      <c r="B116" s="986"/>
      <c r="C116" s="986"/>
      <c r="D116" s="986"/>
      <c r="E116" s="986"/>
      <c r="F116" s="986"/>
      <c r="G116" s="986"/>
      <c r="H116" s="986"/>
      <c r="I116" s="986"/>
    </row>
    <row r="117" spans="1:9" ht="18.75" x14ac:dyDescent="0.25">
      <c r="A117" s="986" t="s">
        <v>1306</v>
      </c>
      <c r="B117" s="986"/>
      <c r="C117" s="986"/>
      <c r="D117" s="986"/>
      <c r="E117" s="986"/>
      <c r="F117" s="986"/>
      <c r="G117" s="986"/>
      <c r="H117" s="986"/>
      <c r="I117" s="986"/>
    </row>
    <row r="118" spans="1:9" ht="18.75" x14ac:dyDescent="0.25">
      <c r="A118" s="986" t="s">
        <v>1307</v>
      </c>
      <c r="B118" s="986"/>
      <c r="C118" s="986"/>
      <c r="D118" s="986"/>
      <c r="E118" s="986"/>
      <c r="F118" s="986"/>
      <c r="G118" s="986"/>
      <c r="H118" s="986"/>
      <c r="I118" s="986"/>
    </row>
    <row r="119" spans="1:9" ht="38.1" customHeight="1" x14ac:dyDescent="0.25">
      <c r="A119" s="986" t="s">
        <v>1308</v>
      </c>
      <c r="B119" s="986"/>
      <c r="C119" s="986"/>
      <c r="D119" s="986"/>
      <c r="E119" s="986"/>
      <c r="F119" s="986"/>
      <c r="G119" s="986"/>
      <c r="H119" s="986"/>
      <c r="I119" s="986"/>
    </row>
    <row r="120" spans="1:9" ht="38.1" customHeight="1" x14ac:dyDescent="0.25">
      <c r="A120" s="986" t="s">
        <v>1309</v>
      </c>
      <c r="B120" s="986"/>
      <c r="C120" s="986"/>
      <c r="D120" s="986"/>
      <c r="E120" s="986"/>
      <c r="F120" s="986"/>
      <c r="G120" s="986"/>
      <c r="H120" s="986"/>
      <c r="I120" s="986"/>
    </row>
    <row r="121" spans="1:9" ht="18.75" x14ac:dyDescent="0.25">
      <c r="A121" s="986" t="s">
        <v>1310</v>
      </c>
      <c r="B121" s="986"/>
      <c r="C121" s="986"/>
      <c r="D121" s="986"/>
      <c r="E121" s="986"/>
      <c r="F121" s="986"/>
      <c r="G121" s="986"/>
      <c r="H121" s="986"/>
      <c r="I121" s="986"/>
    </row>
    <row r="122" spans="1:9" ht="18.75" x14ac:dyDescent="0.25">
      <c r="A122" s="986" t="s">
        <v>1311</v>
      </c>
      <c r="B122" s="986"/>
      <c r="C122" s="986"/>
      <c r="D122" s="986"/>
      <c r="E122" s="986"/>
      <c r="F122" s="986"/>
      <c r="G122" s="986"/>
      <c r="H122" s="986"/>
      <c r="I122" s="986"/>
    </row>
    <row r="123" spans="1:9" ht="20.100000000000001" customHeight="1" x14ac:dyDescent="0.25">
      <c r="A123" s="988" t="s">
        <v>1312</v>
      </c>
      <c r="B123" s="988"/>
      <c r="C123" s="988"/>
      <c r="D123" s="988"/>
      <c r="E123" s="988"/>
      <c r="F123" s="988"/>
      <c r="G123" s="988"/>
      <c r="H123" s="988"/>
      <c r="I123" s="988"/>
    </row>
    <row r="124" spans="1:9" ht="76.5" customHeight="1" x14ac:dyDescent="0.25">
      <c r="A124" s="986" t="s">
        <v>1313</v>
      </c>
      <c r="B124" s="986"/>
      <c r="C124" s="986"/>
      <c r="D124" s="986"/>
      <c r="E124" s="986"/>
      <c r="F124" s="986"/>
      <c r="G124" s="986"/>
      <c r="H124" s="986"/>
      <c r="I124" s="986"/>
    </row>
    <row r="125" spans="1:9" ht="38.1" customHeight="1" x14ac:dyDescent="0.25">
      <c r="A125" s="986" t="s">
        <v>1314</v>
      </c>
      <c r="B125" s="986"/>
      <c r="C125" s="986"/>
      <c r="D125" s="986"/>
      <c r="E125" s="986"/>
      <c r="F125" s="986"/>
      <c r="G125" s="986"/>
      <c r="H125" s="986"/>
      <c r="I125" s="986"/>
    </row>
    <row r="126" spans="1:9" ht="54.95" customHeight="1" x14ac:dyDescent="0.25">
      <c r="A126" s="986" t="s">
        <v>1315</v>
      </c>
      <c r="B126" s="986"/>
      <c r="C126" s="986"/>
      <c r="D126" s="986"/>
      <c r="E126" s="986"/>
      <c r="F126" s="986"/>
      <c r="G126" s="986"/>
      <c r="H126" s="986"/>
      <c r="I126" s="986"/>
    </row>
    <row r="127" spans="1:9" ht="38.1" customHeight="1" x14ac:dyDescent="0.25">
      <c r="A127" s="986" t="s">
        <v>1317</v>
      </c>
      <c r="B127" s="986"/>
      <c r="C127" s="986"/>
      <c r="D127" s="986"/>
      <c r="E127" s="986"/>
      <c r="F127" s="986"/>
      <c r="G127" s="986"/>
      <c r="H127" s="986"/>
      <c r="I127" s="986"/>
    </row>
    <row r="128" spans="1:9" s="545" customFormat="1" ht="54.95" customHeight="1" x14ac:dyDescent="0.25">
      <c r="A128" s="987" t="s">
        <v>1316</v>
      </c>
      <c r="B128" s="987"/>
      <c r="C128" s="987"/>
      <c r="D128" s="987"/>
      <c r="E128" s="987"/>
      <c r="F128" s="987"/>
      <c r="G128" s="987"/>
      <c r="H128" s="987"/>
      <c r="I128" s="987"/>
    </row>
    <row r="129" spans="1:9" s="545" customFormat="1" ht="54.95" customHeight="1" x14ac:dyDescent="0.25">
      <c r="A129" s="987" t="s">
        <v>1318</v>
      </c>
      <c r="B129" s="987"/>
      <c r="C129" s="987"/>
      <c r="D129" s="987"/>
      <c r="E129" s="987"/>
      <c r="F129" s="987"/>
      <c r="G129" s="987"/>
      <c r="H129" s="987"/>
      <c r="I129" s="987"/>
    </row>
    <row r="130" spans="1:9" s="545" customFormat="1" ht="38.1" customHeight="1" x14ac:dyDescent="0.25">
      <c r="A130" s="987" t="s">
        <v>1319</v>
      </c>
      <c r="B130" s="987"/>
      <c r="C130" s="987"/>
      <c r="D130" s="987"/>
      <c r="E130" s="987"/>
      <c r="F130" s="987"/>
      <c r="G130" s="987"/>
      <c r="H130" s="987"/>
      <c r="I130" s="987"/>
    </row>
    <row r="131" spans="1:9" s="545" customFormat="1" ht="38.1" customHeight="1" x14ac:dyDescent="0.25">
      <c r="A131" s="987" t="s">
        <v>1320</v>
      </c>
      <c r="B131" s="987"/>
      <c r="C131" s="987"/>
      <c r="D131" s="987"/>
      <c r="E131" s="987"/>
      <c r="F131" s="987"/>
      <c r="G131" s="987"/>
      <c r="H131" s="987"/>
      <c r="I131" s="987"/>
    </row>
    <row r="132" spans="1:9" s="545" customFormat="1" ht="54.95" customHeight="1" x14ac:dyDescent="0.25">
      <c r="A132" s="987" t="s">
        <v>1321</v>
      </c>
      <c r="B132" s="987"/>
      <c r="C132" s="987"/>
      <c r="D132" s="987"/>
      <c r="E132" s="987"/>
      <c r="F132" s="987"/>
      <c r="G132" s="987"/>
      <c r="H132" s="987"/>
      <c r="I132" s="987"/>
    </row>
    <row r="133" spans="1:9" s="545" customFormat="1" ht="54.95" customHeight="1" x14ac:dyDescent="0.25">
      <c r="A133" s="987" t="s">
        <v>1322</v>
      </c>
      <c r="B133" s="987"/>
      <c r="C133" s="987"/>
      <c r="D133" s="987"/>
      <c r="E133" s="987"/>
      <c r="F133" s="987"/>
      <c r="G133" s="987"/>
      <c r="H133" s="987"/>
      <c r="I133" s="987"/>
    </row>
    <row r="134" spans="1:9" s="545" customFormat="1" ht="167.1" customHeight="1" x14ac:dyDescent="0.25">
      <c r="A134" s="987" t="s">
        <v>1323</v>
      </c>
      <c r="B134" s="987"/>
      <c r="C134" s="987"/>
      <c r="D134" s="987"/>
      <c r="E134" s="987"/>
      <c r="F134" s="987"/>
      <c r="G134" s="987"/>
      <c r="H134" s="987"/>
      <c r="I134" s="987"/>
    </row>
    <row r="135" spans="1:9" s="545" customFormat="1" ht="167.1" customHeight="1" x14ac:dyDescent="0.25">
      <c r="A135" s="987" t="s">
        <v>1324</v>
      </c>
      <c r="B135" s="987"/>
      <c r="C135" s="987"/>
      <c r="D135" s="987"/>
      <c r="E135" s="987"/>
      <c r="F135" s="987"/>
      <c r="G135" s="987"/>
      <c r="H135" s="987"/>
      <c r="I135" s="987"/>
    </row>
    <row r="136" spans="1:9" s="545" customFormat="1" ht="38.1" customHeight="1" x14ac:dyDescent="0.25">
      <c r="A136" s="987" t="s">
        <v>1326</v>
      </c>
      <c r="B136" s="987"/>
      <c r="C136" s="987"/>
      <c r="D136" s="987"/>
      <c r="E136" s="987"/>
      <c r="F136" s="987"/>
      <c r="G136" s="987"/>
      <c r="H136" s="987"/>
      <c r="I136" s="987"/>
    </row>
    <row r="137" spans="1:9" s="545" customFormat="1" ht="38.1" customHeight="1" x14ac:dyDescent="0.25">
      <c r="A137" s="987" t="s">
        <v>1325</v>
      </c>
      <c r="B137" s="987"/>
      <c r="C137" s="987"/>
      <c r="D137" s="987"/>
      <c r="E137" s="987"/>
      <c r="F137" s="987"/>
      <c r="G137" s="987"/>
      <c r="H137" s="987"/>
      <c r="I137" s="987"/>
    </row>
    <row r="138" spans="1:9" s="545" customFormat="1" ht="54.95" customHeight="1" x14ac:dyDescent="0.25">
      <c r="A138" s="987" t="s">
        <v>1327</v>
      </c>
      <c r="B138" s="987"/>
      <c r="C138" s="987"/>
      <c r="D138" s="987"/>
      <c r="E138" s="987"/>
      <c r="F138" s="987"/>
      <c r="G138" s="987"/>
      <c r="H138" s="987"/>
      <c r="I138" s="987"/>
    </row>
    <row r="139" spans="1:9" s="545" customFormat="1" ht="38.1" customHeight="1" x14ac:dyDescent="0.25">
      <c r="A139" s="987" t="s">
        <v>1328</v>
      </c>
      <c r="B139" s="987"/>
      <c r="C139" s="987"/>
      <c r="D139" s="987"/>
      <c r="E139" s="987"/>
      <c r="F139" s="987"/>
      <c r="G139" s="987"/>
      <c r="H139" s="987"/>
      <c r="I139" s="987"/>
    </row>
    <row r="140" spans="1:9" s="545" customFormat="1" ht="38.1" customHeight="1" x14ac:dyDescent="0.25">
      <c r="A140" s="987" t="s">
        <v>1329</v>
      </c>
      <c r="B140" s="987"/>
      <c r="C140" s="987"/>
      <c r="D140" s="987"/>
      <c r="E140" s="987"/>
      <c r="F140" s="987"/>
      <c r="G140" s="987"/>
      <c r="H140" s="987"/>
      <c r="I140" s="987"/>
    </row>
    <row r="141" spans="1:9" s="545" customFormat="1" ht="38.1" customHeight="1" x14ac:dyDescent="0.25">
      <c r="A141" s="987" t="s">
        <v>1330</v>
      </c>
      <c r="B141" s="987"/>
      <c r="C141" s="987"/>
      <c r="D141" s="987"/>
      <c r="E141" s="987"/>
      <c r="F141" s="987"/>
      <c r="G141" s="987"/>
      <c r="H141" s="987"/>
      <c r="I141" s="987"/>
    </row>
    <row r="142" spans="1:9" s="545" customFormat="1" ht="38.1" customHeight="1" x14ac:dyDescent="0.25">
      <c r="A142" s="987" t="s">
        <v>1331</v>
      </c>
      <c r="B142" s="987"/>
      <c r="C142" s="987"/>
      <c r="D142" s="987"/>
      <c r="E142" s="987"/>
      <c r="F142" s="987"/>
      <c r="G142" s="987"/>
      <c r="H142" s="987"/>
      <c r="I142" s="987"/>
    </row>
    <row r="143" spans="1:9" s="545" customFormat="1" ht="38.1" customHeight="1" x14ac:dyDescent="0.25">
      <c r="A143" s="987" t="s">
        <v>1332</v>
      </c>
      <c r="B143" s="987"/>
      <c r="C143" s="987"/>
      <c r="D143" s="987"/>
      <c r="E143" s="987"/>
      <c r="F143" s="987"/>
      <c r="G143" s="987"/>
      <c r="H143" s="987"/>
      <c r="I143" s="987"/>
    </row>
    <row r="144" spans="1:9" s="545" customFormat="1" ht="38.1" customHeight="1" x14ac:dyDescent="0.25">
      <c r="A144" s="987" t="s">
        <v>1453</v>
      </c>
      <c r="B144" s="987"/>
      <c r="C144" s="987"/>
      <c r="D144" s="987"/>
      <c r="E144" s="987"/>
      <c r="F144" s="987"/>
      <c r="G144" s="987"/>
      <c r="H144" s="987"/>
      <c r="I144" s="987"/>
    </row>
    <row r="145" spans="1:9" s="545" customFormat="1" ht="38.1" customHeight="1" x14ac:dyDescent="0.25">
      <c r="A145" s="987" t="s">
        <v>1333</v>
      </c>
      <c r="B145" s="987"/>
      <c r="C145" s="987"/>
      <c r="D145" s="987"/>
      <c r="E145" s="987"/>
      <c r="F145" s="987"/>
      <c r="G145" s="987"/>
      <c r="H145" s="987"/>
      <c r="I145" s="987"/>
    </row>
    <row r="146" spans="1:9" s="545" customFormat="1" ht="38.1" customHeight="1" x14ac:dyDescent="0.25">
      <c r="A146" s="987" t="s">
        <v>1334</v>
      </c>
      <c r="B146" s="987"/>
      <c r="C146" s="987"/>
      <c r="D146" s="987"/>
      <c r="E146" s="987"/>
      <c r="F146" s="987"/>
      <c r="G146" s="987"/>
      <c r="H146" s="987"/>
      <c r="I146" s="987"/>
    </row>
    <row r="147" spans="1:9" s="545" customFormat="1" ht="38.1" customHeight="1" x14ac:dyDescent="0.25">
      <c r="A147" s="987" t="s">
        <v>1335</v>
      </c>
      <c r="B147" s="987"/>
      <c r="C147" s="987"/>
      <c r="D147" s="987"/>
      <c r="E147" s="987"/>
      <c r="F147" s="987"/>
      <c r="G147" s="987"/>
      <c r="H147" s="987"/>
      <c r="I147" s="987"/>
    </row>
    <row r="148" spans="1:9" s="545" customFormat="1" ht="38.1" customHeight="1" x14ac:dyDescent="0.25">
      <c r="A148" s="987" t="s">
        <v>1336</v>
      </c>
      <c r="B148" s="987"/>
      <c r="C148" s="987"/>
      <c r="D148" s="987"/>
      <c r="E148" s="987"/>
      <c r="F148" s="987"/>
      <c r="G148" s="987"/>
      <c r="H148" s="987"/>
      <c r="I148" s="987"/>
    </row>
    <row r="149" spans="1:9" s="545" customFormat="1" ht="38.1" customHeight="1" x14ac:dyDescent="0.25">
      <c r="A149" s="987" t="s">
        <v>1337</v>
      </c>
      <c r="B149" s="987"/>
      <c r="C149" s="987"/>
      <c r="D149" s="987"/>
      <c r="E149" s="987"/>
      <c r="F149" s="987"/>
      <c r="G149" s="987"/>
      <c r="H149" s="987"/>
      <c r="I149" s="987"/>
    </row>
    <row r="150" spans="1:9" s="545" customFormat="1" ht="38.1" customHeight="1" x14ac:dyDescent="0.25">
      <c r="A150" s="987" t="s">
        <v>1338</v>
      </c>
      <c r="B150" s="987"/>
      <c r="C150" s="987"/>
      <c r="D150" s="987"/>
      <c r="E150" s="987"/>
      <c r="F150" s="987"/>
      <c r="G150" s="987"/>
      <c r="H150" s="987"/>
      <c r="I150" s="987"/>
    </row>
    <row r="151" spans="1:9" s="545" customFormat="1" ht="38.1" customHeight="1" x14ac:dyDescent="0.25">
      <c r="A151" s="987" t="s">
        <v>1339</v>
      </c>
      <c r="B151" s="987"/>
      <c r="C151" s="987"/>
      <c r="D151" s="987"/>
      <c r="E151" s="987"/>
      <c r="F151" s="987"/>
      <c r="G151" s="987"/>
      <c r="H151" s="987"/>
      <c r="I151" s="987"/>
    </row>
    <row r="152" spans="1:9" s="545" customFormat="1" ht="38.1" customHeight="1" x14ac:dyDescent="0.25">
      <c r="A152" s="987" t="s">
        <v>1340</v>
      </c>
      <c r="B152" s="987"/>
      <c r="C152" s="987"/>
      <c r="D152" s="987"/>
      <c r="E152" s="987"/>
      <c r="F152" s="987"/>
      <c r="G152" s="987"/>
      <c r="H152" s="987"/>
      <c r="I152" s="987"/>
    </row>
    <row r="153" spans="1:9" s="545" customFormat="1" ht="38.1" customHeight="1" x14ac:dyDescent="0.25">
      <c r="A153" s="987" t="s">
        <v>1341</v>
      </c>
      <c r="B153" s="987"/>
      <c r="C153" s="987"/>
      <c r="D153" s="987"/>
      <c r="E153" s="987"/>
      <c r="F153" s="987"/>
      <c r="G153" s="987"/>
      <c r="H153" s="987"/>
      <c r="I153" s="987"/>
    </row>
    <row r="154" spans="1:9" s="545" customFormat="1" ht="38.1" customHeight="1" x14ac:dyDescent="0.25">
      <c r="A154" s="987" t="s">
        <v>1342</v>
      </c>
      <c r="B154" s="987"/>
      <c r="C154" s="987"/>
      <c r="D154" s="987"/>
      <c r="E154" s="987"/>
      <c r="F154" s="987"/>
      <c r="G154" s="987"/>
      <c r="H154" s="987"/>
      <c r="I154" s="987"/>
    </row>
    <row r="155" spans="1:9" s="545" customFormat="1" ht="38.1" customHeight="1" x14ac:dyDescent="0.25">
      <c r="A155" s="987" t="s">
        <v>1343</v>
      </c>
      <c r="B155" s="987"/>
      <c r="C155" s="987"/>
      <c r="D155" s="987"/>
      <c r="E155" s="987"/>
      <c r="F155" s="987"/>
      <c r="G155" s="987"/>
      <c r="H155" s="987"/>
      <c r="I155" s="987"/>
    </row>
    <row r="156" spans="1:9" s="545" customFormat="1" ht="38.1" customHeight="1" x14ac:dyDescent="0.25">
      <c r="A156" s="987" t="s">
        <v>1344</v>
      </c>
      <c r="B156" s="987"/>
      <c r="C156" s="987"/>
      <c r="D156" s="987"/>
      <c r="E156" s="987"/>
      <c r="F156" s="987"/>
      <c r="G156" s="987"/>
      <c r="H156" s="987"/>
      <c r="I156" s="987"/>
    </row>
    <row r="157" spans="1:9" s="545" customFormat="1" ht="38.1" customHeight="1" x14ac:dyDescent="0.25">
      <c r="A157" s="987" t="s">
        <v>1345</v>
      </c>
      <c r="B157" s="987"/>
      <c r="C157" s="987"/>
      <c r="D157" s="987"/>
      <c r="E157" s="987"/>
      <c r="F157" s="987"/>
      <c r="G157" s="987"/>
      <c r="H157" s="987"/>
      <c r="I157" s="987"/>
    </row>
    <row r="158" spans="1:9" s="545" customFormat="1" ht="38.1" customHeight="1" x14ac:dyDescent="0.25">
      <c r="A158" s="987" t="s">
        <v>1346</v>
      </c>
      <c r="B158" s="987"/>
      <c r="C158" s="987"/>
      <c r="D158" s="987"/>
      <c r="E158" s="987"/>
      <c r="F158" s="987"/>
      <c r="G158" s="987"/>
      <c r="H158" s="987"/>
      <c r="I158" s="987"/>
    </row>
    <row r="159" spans="1:9" s="545" customFormat="1" ht="38.1" customHeight="1" x14ac:dyDescent="0.25">
      <c r="A159" s="987" t="s">
        <v>1347</v>
      </c>
      <c r="B159" s="987"/>
      <c r="C159" s="987"/>
      <c r="D159" s="987"/>
      <c r="E159" s="987"/>
      <c r="F159" s="987"/>
      <c r="G159" s="987"/>
      <c r="H159" s="987"/>
      <c r="I159" s="987"/>
    </row>
    <row r="160" spans="1:9" s="545" customFormat="1" ht="38.1" customHeight="1" x14ac:dyDescent="0.25">
      <c r="A160" s="987" t="s">
        <v>1348</v>
      </c>
      <c r="B160" s="987"/>
      <c r="C160" s="987"/>
      <c r="D160" s="987"/>
      <c r="E160" s="987"/>
      <c r="F160" s="987"/>
      <c r="G160" s="987"/>
      <c r="H160" s="987"/>
      <c r="I160" s="987"/>
    </row>
    <row r="161" spans="1:9" s="545" customFormat="1" ht="54.95" customHeight="1" x14ac:dyDescent="0.25">
      <c r="A161" s="987" t="s">
        <v>1349</v>
      </c>
      <c r="B161" s="987"/>
      <c r="C161" s="987"/>
      <c r="D161" s="987"/>
      <c r="E161" s="987"/>
      <c r="F161" s="987"/>
      <c r="G161" s="987"/>
      <c r="H161" s="987"/>
      <c r="I161" s="987"/>
    </row>
    <row r="162" spans="1:9" s="545" customFormat="1" ht="54.95" customHeight="1" x14ac:dyDescent="0.25">
      <c r="A162" s="987" t="s">
        <v>1350</v>
      </c>
      <c r="B162" s="987"/>
      <c r="C162" s="987"/>
      <c r="D162" s="987"/>
      <c r="E162" s="987"/>
      <c r="F162" s="987"/>
      <c r="G162" s="987"/>
      <c r="H162" s="987"/>
      <c r="I162" s="987"/>
    </row>
    <row r="163" spans="1:9" s="545" customFormat="1" ht="54.95" customHeight="1" x14ac:dyDescent="0.25">
      <c r="A163" s="987" t="s">
        <v>1351</v>
      </c>
      <c r="B163" s="987"/>
      <c r="C163" s="987"/>
      <c r="D163" s="987"/>
      <c r="E163" s="987"/>
      <c r="F163" s="987"/>
      <c r="G163" s="987"/>
      <c r="H163" s="987"/>
      <c r="I163" s="987"/>
    </row>
    <row r="164" spans="1:9" s="545" customFormat="1" ht="54.95" customHeight="1" x14ac:dyDescent="0.25">
      <c r="A164" s="991" t="s">
        <v>1442</v>
      </c>
      <c r="B164" s="991"/>
      <c r="C164" s="991"/>
      <c r="D164" s="991"/>
      <c r="E164" s="991"/>
      <c r="F164" s="991"/>
      <c r="G164" s="991"/>
      <c r="H164" s="991"/>
      <c r="I164" s="991"/>
    </row>
    <row r="165" spans="1:9" s="545" customFormat="1" ht="69.95" customHeight="1" x14ac:dyDescent="0.25">
      <c r="A165" s="987" t="s">
        <v>1352</v>
      </c>
      <c r="B165" s="987"/>
      <c r="C165" s="987"/>
      <c r="D165" s="987"/>
      <c r="E165" s="987"/>
      <c r="F165" s="987"/>
      <c r="G165" s="987"/>
      <c r="H165" s="987"/>
      <c r="I165" s="987"/>
    </row>
    <row r="166" spans="1:9" s="545" customFormat="1" ht="54.95" customHeight="1" x14ac:dyDescent="0.25">
      <c r="A166" s="987" t="s">
        <v>1353</v>
      </c>
      <c r="B166" s="987"/>
      <c r="C166" s="987"/>
      <c r="D166" s="987"/>
      <c r="E166" s="987"/>
      <c r="F166" s="987"/>
      <c r="G166" s="987"/>
      <c r="H166" s="987"/>
      <c r="I166" s="987"/>
    </row>
    <row r="167" spans="1:9" s="545" customFormat="1" ht="54.95" customHeight="1" x14ac:dyDescent="0.25">
      <c r="A167" s="987" t="s">
        <v>1354</v>
      </c>
      <c r="B167" s="987"/>
      <c r="C167" s="987"/>
      <c r="D167" s="987"/>
      <c r="E167" s="987"/>
      <c r="F167" s="987"/>
      <c r="G167" s="987"/>
      <c r="H167" s="987"/>
      <c r="I167" s="987"/>
    </row>
    <row r="168" spans="1:9" s="545" customFormat="1" ht="38.1" customHeight="1" x14ac:dyDescent="0.25">
      <c r="A168" s="987" t="s">
        <v>1355</v>
      </c>
      <c r="B168" s="987"/>
      <c r="C168" s="987"/>
      <c r="D168" s="987"/>
      <c r="E168" s="987"/>
      <c r="F168" s="987"/>
      <c r="G168" s="987"/>
      <c r="H168" s="987"/>
      <c r="I168" s="987"/>
    </row>
    <row r="169" spans="1:9" s="545" customFormat="1" ht="38.1" customHeight="1" x14ac:dyDescent="0.25">
      <c r="A169" s="987" t="s">
        <v>1356</v>
      </c>
      <c r="B169" s="987"/>
      <c r="C169" s="987"/>
      <c r="D169" s="987"/>
      <c r="E169" s="987"/>
      <c r="F169" s="987"/>
      <c r="G169" s="987"/>
      <c r="H169" s="987"/>
      <c r="I169" s="987"/>
    </row>
    <row r="170" spans="1:9" s="545" customFormat="1" ht="38.1" customHeight="1" x14ac:dyDescent="0.25">
      <c r="A170" s="987" t="s">
        <v>1357</v>
      </c>
      <c r="B170" s="987"/>
      <c r="C170" s="987"/>
      <c r="D170" s="987"/>
      <c r="E170" s="987"/>
      <c r="F170" s="987"/>
      <c r="G170" s="987"/>
      <c r="H170" s="987"/>
      <c r="I170" s="987"/>
    </row>
    <row r="171" spans="1:9" s="545" customFormat="1" ht="38.1" customHeight="1" x14ac:dyDescent="0.25">
      <c r="A171" s="987" t="s">
        <v>1358</v>
      </c>
      <c r="B171" s="987"/>
      <c r="C171" s="987"/>
      <c r="D171" s="987"/>
      <c r="E171" s="987"/>
      <c r="F171" s="987"/>
      <c r="G171" s="987"/>
      <c r="H171" s="987"/>
      <c r="I171" s="987"/>
    </row>
    <row r="172" spans="1:9" s="545" customFormat="1" ht="54.95" customHeight="1" x14ac:dyDescent="0.25">
      <c r="A172" s="987" t="s">
        <v>1359</v>
      </c>
      <c r="B172" s="987"/>
      <c r="C172" s="987"/>
      <c r="D172" s="987"/>
      <c r="E172" s="987"/>
      <c r="F172" s="987"/>
      <c r="G172" s="987"/>
      <c r="H172" s="987"/>
      <c r="I172" s="987"/>
    </row>
    <row r="173" spans="1:9" s="545" customFormat="1" ht="38.1" customHeight="1" x14ac:dyDescent="0.25">
      <c r="A173" s="987" t="s">
        <v>1360</v>
      </c>
      <c r="B173" s="987"/>
      <c r="C173" s="987"/>
      <c r="D173" s="987"/>
      <c r="E173" s="987"/>
      <c r="F173" s="987"/>
      <c r="G173" s="987"/>
      <c r="H173" s="987"/>
      <c r="I173" s="987"/>
    </row>
    <row r="174" spans="1:9" s="545" customFormat="1" ht="38.1" customHeight="1" x14ac:dyDescent="0.25">
      <c r="A174" s="987" t="s">
        <v>1361</v>
      </c>
      <c r="B174" s="987"/>
      <c r="C174" s="987"/>
      <c r="D174" s="987"/>
      <c r="E174" s="987"/>
      <c r="F174" s="987"/>
      <c r="G174" s="987"/>
      <c r="H174" s="987"/>
      <c r="I174" s="987"/>
    </row>
    <row r="175" spans="1:9" s="545" customFormat="1" ht="54.95" customHeight="1" x14ac:dyDescent="0.25">
      <c r="A175" s="987" t="s">
        <v>1362</v>
      </c>
      <c r="B175" s="987"/>
      <c r="C175" s="987"/>
      <c r="D175" s="987"/>
      <c r="E175" s="987"/>
      <c r="F175" s="987"/>
      <c r="G175" s="987"/>
      <c r="H175" s="987"/>
      <c r="I175" s="987"/>
    </row>
    <row r="176" spans="1:9" s="545" customFormat="1" ht="54.95" customHeight="1" x14ac:dyDescent="0.25">
      <c r="A176" s="987" t="s">
        <v>1363</v>
      </c>
      <c r="B176" s="987"/>
      <c r="C176" s="987"/>
      <c r="D176" s="987"/>
      <c r="E176" s="987"/>
      <c r="F176" s="987"/>
      <c r="G176" s="987"/>
      <c r="H176" s="987"/>
      <c r="I176" s="987"/>
    </row>
    <row r="177" spans="1:9" ht="38.1" customHeight="1" x14ac:dyDescent="0.25">
      <c r="A177" s="988" t="s">
        <v>1364</v>
      </c>
      <c r="B177" s="988"/>
      <c r="C177" s="988"/>
      <c r="D177" s="988"/>
      <c r="E177" s="988"/>
      <c r="F177" s="988"/>
      <c r="G177" s="988"/>
      <c r="H177" s="988"/>
      <c r="I177" s="988"/>
    </row>
    <row r="178" spans="1:9" s="545" customFormat="1" ht="38.1" customHeight="1" x14ac:dyDescent="0.25">
      <c r="A178" s="987" t="s">
        <v>1365</v>
      </c>
      <c r="B178" s="987"/>
      <c r="C178" s="987"/>
      <c r="D178" s="987"/>
      <c r="E178" s="987"/>
      <c r="F178" s="987"/>
      <c r="G178" s="987"/>
      <c r="H178" s="987"/>
      <c r="I178" s="987"/>
    </row>
    <row r="179" spans="1:9" s="545" customFormat="1" ht="38.1" customHeight="1" x14ac:dyDescent="0.25">
      <c r="A179" s="987" t="s">
        <v>1366</v>
      </c>
      <c r="B179" s="987"/>
      <c r="C179" s="987"/>
      <c r="D179" s="987"/>
      <c r="E179" s="987"/>
      <c r="F179" s="987"/>
      <c r="G179" s="987"/>
      <c r="H179" s="987"/>
      <c r="I179" s="987"/>
    </row>
    <row r="180" spans="1:9" s="545" customFormat="1" ht="38.1" customHeight="1" x14ac:dyDescent="0.25">
      <c r="A180" s="987" t="s">
        <v>1367</v>
      </c>
      <c r="B180" s="987"/>
      <c r="C180" s="987"/>
      <c r="D180" s="987"/>
      <c r="E180" s="987"/>
      <c r="F180" s="987"/>
      <c r="G180" s="987"/>
      <c r="H180" s="987"/>
      <c r="I180" s="987"/>
    </row>
    <row r="181" spans="1:9" s="545" customFormat="1" ht="38.1" customHeight="1" x14ac:dyDescent="0.25">
      <c r="A181" s="987" t="s">
        <v>1368</v>
      </c>
      <c r="B181" s="987"/>
      <c r="C181" s="987"/>
      <c r="D181" s="987"/>
      <c r="E181" s="987"/>
      <c r="F181" s="987"/>
      <c r="G181" s="987"/>
      <c r="H181" s="987"/>
      <c r="I181" s="987"/>
    </row>
    <row r="182" spans="1:9" s="545" customFormat="1" ht="38.1" customHeight="1" x14ac:dyDescent="0.25">
      <c r="A182" s="987" t="s">
        <v>1443</v>
      </c>
      <c r="B182" s="987"/>
      <c r="C182" s="987"/>
      <c r="D182" s="987"/>
      <c r="E182" s="987"/>
      <c r="F182" s="987"/>
      <c r="G182" s="987"/>
      <c r="H182" s="987"/>
      <c r="I182" s="987"/>
    </row>
    <row r="183" spans="1:9" s="545" customFormat="1" ht="54.95" customHeight="1" x14ac:dyDescent="0.25">
      <c r="A183" s="987" t="s">
        <v>1444</v>
      </c>
      <c r="B183" s="987"/>
      <c r="C183" s="987"/>
      <c r="D183" s="987"/>
      <c r="E183" s="987"/>
      <c r="F183" s="987"/>
      <c r="G183" s="987"/>
      <c r="H183" s="987"/>
      <c r="I183" s="987"/>
    </row>
    <row r="184" spans="1:9" ht="54.95" customHeight="1" x14ac:dyDescent="0.25">
      <c r="A184" s="986" t="s">
        <v>1445</v>
      </c>
      <c r="B184" s="986"/>
      <c r="C184" s="986"/>
      <c r="D184" s="986"/>
      <c r="E184" s="986"/>
      <c r="F184" s="986"/>
      <c r="G184" s="986"/>
      <c r="H184" s="986"/>
      <c r="I184" s="986"/>
    </row>
    <row r="185" spans="1:9" ht="38.1" customHeight="1" x14ac:dyDescent="0.25">
      <c r="A185" s="986" t="s">
        <v>1369</v>
      </c>
      <c r="B185" s="986"/>
      <c r="C185" s="986"/>
      <c r="D185" s="986"/>
      <c r="E185" s="986"/>
      <c r="F185" s="986"/>
      <c r="G185" s="986"/>
      <c r="H185" s="986"/>
      <c r="I185" s="986"/>
    </row>
    <row r="186" spans="1:9" ht="38.1" customHeight="1" x14ac:dyDescent="0.25">
      <c r="A186" s="986" t="s">
        <v>1370</v>
      </c>
      <c r="B186" s="986"/>
      <c r="C186" s="986"/>
      <c r="D186" s="986"/>
      <c r="E186" s="986"/>
      <c r="F186" s="986"/>
      <c r="G186" s="986"/>
      <c r="H186" s="986"/>
      <c r="I186" s="986"/>
    </row>
    <row r="187" spans="1:9" ht="38.1" customHeight="1" x14ac:dyDescent="0.25">
      <c r="A187" s="986" t="s">
        <v>1371</v>
      </c>
      <c r="B187" s="986"/>
      <c r="C187" s="986"/>
      <c r="D187" s="986"/>
      <c r="E187" s="986"/>
      <c r="F187" s="986"/>
      <c r="G187" s="986"/>
      <c r="H187" s="986"/>
      <c r="I187" s="986"/>
    </row>
    <row r="188" spans="1:9" s="545" customFormat="1" ht="38.1" customHeight="1" x14ac:dyDescent="0.25">
      <c r="A188" s="987" t="s">
        <v>1372</v>
      </c>
      <c r="B188" s="987"/>
      <c r="C188" s="987"/>
      <c r="D188" s="987"/>
      <c r="E188" s="987"/>
      <c r="F188" s="987"/>
      <c r="G188" s="987"/>
      <c r="H188" s="987"/>
      <c r="I188" s="987"/>
    </row>
    <row r="189" spans="1:9" s="545" customFormat="1" ht="38.1" customHeight="1" x14ac:dyDescent="0.25">
      <c r="A189" s="987" t="s">
        <v>1373</v>
      </c>
      <c r="B189" s="987"/>
      <c r="C189" s="987"/>
      <c r="D189" s="987"/>
      <c r="E189" s="987"/>
      <c r="F189" s="987"/>
      <c r="G189" s="987"/>
      <c r="H189" s="987"/>
      <c r="I189" s="987"/>
    </row>
    <row r="190" spans="1:9" s="545" customFormat="1" ht="38.1" customHeight="1" x14ac:dyDescent="0.25">
      <c r="A190" s="987" t="s">
        <v>1374</v>
      </c>
      <c r="B190" s="987"/>
      <c r="C190" s="987"/>
      <c r="D190" s="987"/>
      <c r="E190" s="987"/>
      <c r="F190" s="987"/>
      <c r="G190" s="987"/>
      <c r="H190" s="987"/>
      <c r="I190" s="987"/>
    </row>
    <row r="191" spans="1:9" s="545" customFormat="1" ht="38.1" customHeight="1" x14ac:dyDescent="0.25">
      <c r="A191" s="987" t="s">
        <v>1375</v>
      </c>
      <c r="B191" s="987"/>
      <c r="C191" s="987"/>
      <c r="D191" s="987"/>
      <c r="E191" s="987"/>
      <c r="F191" s="987"/>
      <c r="G191" s="987"/>
      <c r="H191" s="987"/>
      <c r="I191" s="987"/>
    </row>
    <row r="192" spans="1:9" s="545" customFormat="1" ht="38.1" customHeight="1" x14ac:dyDescent="0.25">
      <c r="A192" s="990" t="s">
        <v>1376</v>
      </c>
      <c r="B192" s="990"/>
      <c r="C192" s="990"/>
      <c r="D192" s="990"/>
      <c r="E192" s="990"/>
      <c r="F192" s="990"/>
      <c r="G192" s="990"/>
      <c r="H192" s="990"/>
      <c r="I192" s="990"/>
    </row>
    <row r="193" spans="1:9" s="545" customFormat="1" ht="38.1" customHeight="1" x14ac:dyDescent="0.25">
      <c r="A193" s="987" t="s">
        <v>1377</v>
      </c>
      <c r="B193" s="987"/>
      <c r="C193" s="987"/>
      <c r="D193" s="987"/>
      <c r="E193" s="987"/>
      <c r="F193" s="987"/>
      <c r="G193" s="987"/>
      <c r="H193" s="987"/>
      <c r="I193" s="987"/>
    </row>
    <row r="194" spans="1:9" s="545" customFormat="1" ht="38.1" customHeight="1" x14ac:dyDescent="0.25">
      <c r="A194" s="987" t="s">
        <v>1378</v>
      </c>
      <c r="B194" s="987"/>
      <c r="C194" s="987"/>
      <c r="D194" s="987"/>
      <c r="E194" s="987"/>
      <c r="F194" s="987"/>
      <c r="G194" s="987"/>
      <c r="H194" s="987"/>
      <c r="I194" s="987"/>
    </row>
    <row r="195" spans="1:9" ht="38.1" customHeight="1" x14ac:dyDescent="0.25">
      <c r="A195" s="986" t="s">
        <v>1379</v>
      </c>
      <c r="B195" s="986"/>
      <c r="C195" s="986"/>
      <c r="D195" s="986"/>
      <c r="E195" s="986"/>
      <c r="F195" s="986"/>
      <c r="G195" s="986"/>
      <c r="H195" s="986"/>
      <c r="I195" s="986"/>
    </row>
    <row r="196" spans="1:9" ht="38.1" customHeight="1" x14ac:dyDescent="0.25">
      <c r="A196" s="986" t="s">
        <v>1380</v>
      </c>
      <c r="B196" s="986"/>
      <c r="C196" s="986"/>
      <c r="D196" s="986"/>
      <c r="E196" s="986"/>
      <c r="F196" s="986"/>
      <c r="G196" s="986"/>
      <c r="H196" s="986"/>
      <c r="I196" s="986"/>
    </row>
    <row r="197" spans="1:9" ht="38.1" customHeight="1" x14ac:dyDescent="0.25">
      <c r="A197" s="988" t="s">
        <v>1381</v>
      </c>
      <c r="B197" s="988"/>
      <c r="C197" s="988"/>
      <c r="D197" s="988"/>
      <c r="E197" s="988"/>
      <c r="F197" s="988"/>
      <c r="G197" s="988"/>
      <c r="H197" s="988"/>
      <c r="I197" s="988"/>
    </row>
    <row r="198" spans="1:9" s="544" customFormat="1" ht="38.1" customHeight="1" x14ac:dyDescent="0.25">
      <c r="A198" s="989" t="s">
        <v>1382</v>
      </c>
      <c r="B198" s="989"/>
      <c r="C198" s="989"/>
      <c r="D198" s="989"/>
      <c r="E198" s="989"/>
      <c r="F198" s="989"/>
      <c r="G198" s="989"/>
      <c r="H198" s="989"/>
      <c r="I198" s="989"/>
    </row>
    <row r="199" spans="1:9" s="544" customFormat="1" ht="38.1" customHeight="1" x14ac:dyDescent="0.25">
      <c r="A199" s="989" t="s">
        <v>1383</v>
      </c>
      <c r="B199" s="989"/>
      <c r="C199" s="989"/>
      <c r="D199" s="989"/>
      <c r="E199" s="989"/>
      <c r="F199" s="989"/>
      <c r="G199" s="989"/>
      <c r="H199" s="989"/>
      <c r="I199" s="989"/>
    </row>
    <row r="200" spans="1:9" ht="38.1" customHeight="1" x14ac:dyDescent="0.25">
      <c r="A200" s="986" t="s">
        <v>1384</v>
      </c>
      <c r="B200" s="986"/>
      <c r="C200" s="986"/>
      <c r="D200" s="986"/>
      <c r="E200" s="986"/>
      <c r="F200" s="986"/>
      <c r="G200" s="986"/>
      <c r="H200" s="986"/>
      <c r="I200" s="986"/>
    </row>
    <row r="201" spans="1:9" ht="38.1" customHeight="1" x14ac:dyDescent="0.25">
      <c r="A201" s="986" t="s">
        <v>1385</v>
      </c>
      <c r="B201" s="986"/>
      <c r="C201" s="986"/>
      <c r="D201" s="986"/>
      <c r="E201" s="986"/>
      <c r="F201" s="986"/>
      <c r="G201" s="986"/>
      <c r="H201" s="986"/>
      <c r="I201" s="986"/>
    </row>
    <row r="202" spans="1:9" ht="20.100000000000001" customHeight="1" x14ac:dyDescent="0.25">
      <c r="A202" s="988" t="s">
        <v>1386</v>
      </c>
      <c r="B202" s="988"/>
      <c r="C202" s="988"/>
      <c r="D202" s="988"/>
      <c r="E202" s="988"/>
      <c r="F202" s="988"/>
      <c r="G202" s="988"/>
      <c r="H202" s="988"/>
      <c r="I202" s="988"/>
    </row>
    <row r="203" spans="1:9" ht="54.95" customHeight="1" x14ac:dyDescent="0.25">
      <c r="A203" s="986" t="s">
        <v>1387</v>
      </c>
      <c r="B203" s="986"/>
      <c r="C203" s="986"/>
      <c r="D203" s="986"/>
      <c r="E203" s="986"/>
      <c r="F203" s="986"/>
      <c r="G203" s="986"/>
      <c r="H203" s="986"/>
      <c r="I203" s="986"/>
    </row>
    <row r="204" spans="1:9" ht="54.95" customHeight="1" x14ac:dyDescent="0.25">
      <c r="A204" s="986" t="s">
        <v>1388</v>
      </c>
      <c r="B204" s="986"/>
      <c r="C204" s="986"/>
      <c r="D204" s="986"/>
      <c r="E204" s="986"/>
      <c r="F204" s="986"/>
      <c r="G204" s="986"/>
      <c r="H204" s="986"/>
      <c r="I204" s="986"/>
    </row>
    <row r="205" spans="1:9" s="545" customFormat="1" ht="38.1" customHeight="1" x14ac:dyDescent="0.25">
      <c r="A205" s="987" t="s">
        <v>1389</v>
      </c>
      <c r="B205" s="987"/>
      <c r="C205" s="987"/>
      <c r="D205" s="987"/>
      <c r="E205" s="987"/>
      <c r="F205" s="987"/>
      <c r="G205" s="987"/>
      <c r="H205" s="987"/>
      <c r="I205" s="987"/>
    </row>
    <row r="206" spans="1:9" s="545" customFormat="1" ht="38.1" customHeight="1" x14ac:dyDescent="0.25">
      <c r="A206" s="987" t="s">
        <v>1390</v>
      </c>
      <c r="B206" s="987"/>
      <c r="C206" s="987"/>
      <c r="D206" s="987"/>
      <c r="E206" s="987"/>
      <c r="F206" s="987"/>
      <c r="G206" s="987"/>
      <c r="H206" s="987"/>
      <c r="I206" s="987"/>
    </row>
    <row r="207" spans="1:9" s="545" customFormat="1" ht="38.1" customHeight="1" x14ac:dyDescent="0.25">
      <c r="A207" s="987" t="s">
        <v>1391</v>
      </c>
      <c r="B207" s="987"/>
      <c r="C207" s="987"/>
      <c r="D207" s="987"/>
      <c r="E207" s="987"/>
      <c r="F207" s="987"/>
      <c r="G207" s="987"/>
      <c r="H207" s="987"/>
      <c r="I207" s="987"/>
    </row>
    <row r="208" spans="1:9" ht="20.100000000000001" customHeight="1" x14ac:dyDescent="0.25">
      <c r="A208" s="988" t="s">
        <v>1418</v>
      </c>
      <c r="B208" s="988"/>
      <c r="C208" s="988"/>
      <c r="D208" s="988"/>
      <c r="E208" s="988"/>
      <c r="F208" s="988"/>
      <c r="G208" s="988"/>
      <c r="H208" s="988"/>
      <c r="I208" s="988"/>
    </row>
    <row r="209" spans="1:9" s="481" customFormat="1" ht="20.100000000000001" customHeight="1" x14ac:dyDescent="0.25">
      <c r="A209" s="988" t="s">
        <v>1446</v>
      </c>
      <c r="B209" s="988"/>
      <c r="C209" s="988"/>
      <c r="D209" s="988"/>
      <c r="E209" s="988"/>
      <c r="F209" s="988"/>
      <c r="G209" s="988"/>
      <c r="H209" s="988"/>
      <c r="I209" s="988"/>
    </row>
    <row r="210" spans="1:9" ht="20.100000000000001" customHeight="1" x14ac:dyDescent="0.25">
      <c r="A210" s="988" t="s">
        <v>1447</v>
      </c>
      <c r="B210" s="988"/>
      <c r="C210" s="988"/>
      <c r="D210" s="988"/>
      <c r="E210" s="988"/>
      <c r="F210" s="988"/>
      <c r="G210" s="988"/>
      <c r="H210" s="988"/>
      <c r="I210" s="988"/>
    </row>
    <row r="211" spans="1:9" ht="110.25" customHeight="1" x14ac:dyDescent="0.25">
      <c r="A211" s="986" t="s">
        <v>1392</v>
      </c>
      <c r="B211" s="986"/>
      <c r="C211" s="986"/>
      <c r="D211" s="986"/>
      <c r="E211" s="986"/>
      <c r="F211" s="986"/>
      <c r="G211" s="986"/>
      <c r="H211" s="986"/>
      <c r="I211" s="986"/>
    </row>
    <row r="212" spans="1:9" ht="38.1" customHeight="1" x14ac:dyDescent="0.25">
      <c r="A212" s="986"/>
      <c r="B212" s="986"/>
      <c r="C212" s="986"/>
      <c r="D212" s="986"/>
      <c r="E212" s="986"/>
      <c r="F212" s="986"/>
      <c r="G212" s="986"/>
      <c r="H212" s="986"/>
      <c r="I212" s="986"/>
    </row>
    <row r="213" spans="1:9" ht="19.5" x14ac:dyDescent="0.25">
      <c r="A213" s="470"/>
    </row>
  </sheetData>
  <mergeCells count="212">
    <mergeCell ref="A1:I1"/>
    <mergeCell ref="A2:H2"/>
    <mergeCell ref="A3:I3"/>
    <mergeCell ref="A4:I4"/>
    <mergeCell ref="A11:I11"/>
    <mergeCell ref="A12:I12"/>
    <mergeCell ref="A13:I13"/>
    <mergeCell ref="A14:I14"/>
    <mergeCell ref="A15:I15"/>
    <mergeCell ref="A16:I16"/>
    <mergeCell ref="A5:I5"/>
    <mergeCell ref="A6:I6"/>
    <mergeCell ref="A7:I7"/>
    <mergeCell ref="A8:I8"/>
    <mergeCell ref="A9:I9"/>
    <mergeCell ref="A10:I10"/>
    <mergeCell ref="A23:I23"/>
    <mergeCell ref="A24:I24"/>
    <mergeCell ref="A25:I25"/>
    <mergeCell ref="A26:I26"/>
    <mergeCell ref="A27:I27"/>
    <mergeCell ref="A28:I28"/>
    <mergeCell ref="A17:I17"/>
    <mergeCell ref="A18:I18"/>
    <mergeCell ref="A19:I19"/>
    <mergeCell ref="A20:I20"/>
    <mergeCell ref="A21:I21"/>
    <mergeCell ref="A22:I22"/>
    <mergeCell ref="A45:I45"/>
    <mergeCell ref="A46:I46"/>
    <mergeCell ref="A47:I47"/>
    <mergeCell ref="A48:I48"/>
    <mergeCell ref="A49:I49"/>
    <mergeCell ref="A29:I29"/>
    <mergeCell ref="A34:I34"/>
    <mergeCell ref="A36:I36"/>
    <mergeCell ref="A41:I41"/>
    <mergeCell ref="A42:I42"/>
    <mergeCell ref="A43:I43"/>
    <mergeCell ref="A30:I30"/>
    <mergeCell ref="A31:I31"/>
    <mergeCell ref="A32:I32"/>
    <mergeCell ref="A33:I33"/>
    <mergeCell ref="A35:I35"/>
    <mergeCell ref="A37:I37"/>
    <mergeCell ref="A38:I38"/>
    <mergeCell ref="A39:I39"/>
    <mergeCell ref="A40:I40"/>
    <mergeCell ref="A44:I44"/>
    <mergeCell ref="A56:I56"/>
    <mergeCell ref="A57:I57"/>
    <mergeCell ref="A58:I58"/>
    <mergeCell ref="A59:I59"/>
    <mergeCell ref="A60:I60"/>
    <mergeCell ref="A61:I61"/>
    <mergeCell ref="A50:I50"/>
    <mergeCell ref="A51:I51"/>
    <mergeCell ref="A52:I52"/>
    <mergeCell ref="A53:I53"/>
    <mergeCell ref="A54:I54"/>
    <mergeCell ref="A55:I55"/>
    <mergeCell ref="A69:I69"/>
    <mergeCell ref="A70:I70"/>
    <mergeCell ref="A71:I71"/>
    <mergeCell ref="A72:I72"/>
    <mergeCell ref="A73:I73"/>
    <mergeCell ref="A74:I74"/>
    <mergeCell ref="A62:I62"/>
    <mergeCell ref="A64:I64"/>
    <mergeCell ref="A65:I65"/>
    <mergeCell ref="A66:I66"/>
    <mergeCell ref="A67:I67"/>
    <mergeCell ref="A68:I68"/>
    <mergeCell ref="A63:I63"/>
    <mergeCell ref="A81:I81"/>
    <mergeCell ref="A82:I82"/>
    <mergeCell ref="A83:I83"/>
    <mergeCell ref="A84:I84"/>
    <mergeCell ref="A85:I85"/>
    <mergeCell ref="A86:I86"/>
    <mergeCell ref="A75:I75"/>
    <mergeCell ref="A76:I76"/>
    <mergeCell ref="A77:I77"/>
    <mergeCell ref="A78:I78"/>
    <mergeCell ref="A79:I79"/>
    <mergeCell ref="A80:I80"/>
    <mergeCell ref="A93:I93"/>
    <mergeCell ref="A94:I94"/>
    <mergeCell ref="A95:I95"/>
    <mergeCell ref="A96:I96"/>
    <mergeCell ref="A97:I97"/>
    <mergeCell ref="A98:I98"/>
    <mergeCell ref="A87:I87"/>
    <mergeCell ref="A88:I88"/>
    <mergeCell ref="A89:I89"/>
    <mergeCell ref="A90:I90"/>
    <mergeCell ref="A91:I91"/>
    <mergeCell ref="A92:I92"/>
    <mergeCell ref="A105:I105"/>
    <mergeCell ref="A106:I106"/>
    <mergeCell ref="A107:I107"/>
    <mergeCell ref="A108:I108"/>
    <mergeCell ref="A109:I109"/>
    <mergeCell ref="A110:I110"/>
    <mergeCell ref="A99:I99"/>
    <mergeCell ref="A100:I100"/>
    <mergeCell ref="A101:I101"/>
    <mergeCell ref="A102:I102"/>
    <mergeCell ref="A103:I103"/>
    <mergeCell ref="A104:I104"/>
    <mergeCell ref="A117:I117"/>
    <mergeCell ref="A118:I118"/>
    <mergeCell ref="A119:I119"/>
    <mergeCell ref="A120:I120"/>
    <mergeCell ref="A121:I121"/>
    <mergeCell ref="A122:I122"/>
    <mergeCell ref="A111:I111"/>
    <mergeCell ref="A112:I112"/>
    <mergeCell ref="A113:I113"/>
    <mergeCell ref="A114:I114"/>
    <mergeCell ref="A115:I115"/>
    <mergeCell ref="A116:I116"/>
    <mergeCell ref="A129:I129"/>
    <mergeCell ref="A130:I130"/>
    <mergeCell ref="A131:I131"/>
    <mergeCell ref="A132:I132"/>
    <mergeCell ref="A133:I133"/>
    <mergeCell ref="A134:I134"/>
    <mergeCell ref="A123:I123"/>
    <mergeCell ref="A124:I124"/>
    <mergeCell ref="A125:I125"/>
    <mergeCell ref="A126:I126"/>
    <mergeCell ref="A127:I127"/>
    <mergeCell ref="A128:I128"/>
    <mergeCell ref="A141:I141"/>
    <mergeCell ref="A142:I142"/>
    <mergeCell ref="A143:I143"/>
    <mergeCell ref="A144:I144"/>
    <mergeCell ref="A145:I145"/>
    <mergeCell ref="A146:I146"/>
    <mergeCell ref="A135:I135"/>
    <mergeCell ref="A136:I136"/>
    <mergeCell ref="A137:I137"/>
    <mergeCell ref="A138:I138"/>
    <mergeCell ref="A139:I139"/>
    <mergeCell ref="A140:I140"/>
    <mergeCell ref="A153:I153"/>
    <mergeCell ref="A154:I154"/>
    <mergeCell ref="A155:I155"/>
    <mergeCell ref="A156:I156"/>
    <mergeCell ref="A157:I157"/>
    <mergeCell ref="A158:I158"/>
    <mergeCell ref="A147:I147"/>
    <mergeCell ref="A148:I148"/>
    <mergeCell ref="A149:I149"/>
    <mergeCell ref="A150:I150"/>
    <mergeCell ref="A151:I151"/>
    <mergeCell ref="A152:I152"/>
    <mergeCell ref="A165:I165"/>
    <mergeCell ref="A166:I166"/>
    <mergeCell ref="A167:I167"/>
    <mergeCell ref="A159:I159"/>
    <mergeCell ref="A160:I160"/>
    <mergeCell ref="A161:I161"/>
    <mergeCell ref="A162:I162"/>
    <mergeCell ref="A163:I163"/>
    <mergeCell ref="A164:I164"/>
    <mergeCell ref="A168:I168"/>
    <mergeCell ref="A169:I169"/>
    <mergeCell ref="A170:I170"/>
    <mergeCell ref="A171:I171"/>
    <mergeCell ref="A172:I172"/>
    <mergeCell ref="A173:I173"/>
    <mergeCell ref="A174:I174"/>
    <mergeCell ref="A175:I175"/>
    <mergeCell ref="A176:I176"/>
    <mergeCell ref="A177:I177"/>
    <mergeCell ref="A178:I178"/>
    <mergeCell ref="A179:I179"/>
    <mergeCell ref="A180:I180"/>
    <mergeCell ref="A181:I181"/>
    <mergeCell ref="A182:I182"/>
    <mergeCell ref="A183:I183"/>
    <mergeCell ref="A184:I184"/>
    <mergeCell ref="A185:I185"/>
    <mergeCell ref="A186:I186"/>
    <mergeCell ref="A187:I187"/>
    <mergeCell ref="A188:I188"/>
    <mergeCell ref="A189:I189"/>
    <mergeCell ref="A190:I190"/>
    <mergeCell ref="A191:I191"/>
    <mergeCell ref="A192:I192"/>
    <mergeCell ref="A193:I193"/>
    <mergeCell ref="A194:I194"/>
    <mergeCell ref="A195:I195"/>
    <mergeCell ref="A196:I196"/>
    <mergeCell ref="A197:I197"/>
    <mergeCell ref="A198:I198"/>
    <mergeCell ref="A199:I199"/>
    <mergeCell ref="A200:I200"/>
    <mergeCell ref="A201:I201"/>
    <mergeCell ref="A202:I202"/>
    <mergeCell ref="A203:I203"/>
    <mergeCell ref="A204:I204"/>
    <mergeCell ref="A205:I205"/>
    <mergeCell ref="A206:I206"/>
    <mergeCell ref="A207:I207"/>
    <mergeCell ref="A208:I208"/>
    <mergeCell ref="A209:I209"/>
    <mergeCell ref="A210:I210"/>
    <mergeCell ref="A211:I211"/>
    <mergeCell ref="A212:I212"/>
  </mergeCells>
  <pageMargins left="0.70866141732283472" right="0.51181102362204722" top="0.59055118110236227" bottom="0.59055118110236227" header="0.31496062992125984" footer="0.31496062992125984"/>
  <pageSetup paperSize="9" firstPageNumber="4" orientation="portrait" useFirstPageNumber="1" r:id="rId1"/>
  <headerFoot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20"/>
  <sheetViews>
    <sheetView view="pageBreakPreview" zoomScaleNormal="100" zoomScaleSheetLayoutView="100" workbookViewId="0">
      <selection activeCell="M9" sqref="M9"/>
    </sheetView>
  </sheetViews>
  <sheetFormatPr defaultRowHeight="15" x14ac:dyDescent="0.25"/>
  <cols>
    <col min="1" max="1" width="5.42578125" customWidth="1"/>
    <col min="2" max="2" width="24.140625" customWidth="1"/>
    <col min="3" max="3" width="27.42578125" customWidth="1"/>
    <col min="4" max="4" width="11.85546875" customWidth="1"/>
    <col min="5" max="5" width="8.42578125" customWidth="1"/>
    <col min="6" max="6" width="10.140625" customWidth="1"/>
    <col min="7" max="7" width="15.85546875" customWidth="1"/>
    <col min="8" max="8" width="7.85546875" customWidth="1"/>
    <col min="9" max="10" width="11" customWidth="1"/>
    <col min="11" max="12" width="14.85546875" customWidth="1"/>
  </cols>
  <sheetData>
    <row r="1" spans="1:26" s="370" customFormat="1" ht="18" customHeight="1" x14ac:dyDescent="0.25">
      <c r="A1" s="1379" t="s">
        <v>1115</v>
      </c>
      <c r="B1" s="1379"/>
      <c r="C1" s="1379"/>
      <c r="D1" s="1379"/>
      <c r="E1" s="1379"/>
      <c r="F1" s="1379"/>
      <c r="G1" s="1379"/>
      <c r="H1" s="1379"/>
      <c r="I1" s="1379"/>
    </row>
    <row r="2" spans="1:26" s="370" customFormat="1" ht="9.75" customHeight="1" x14ac:dyDescent="0.25">
      <c r="A2" s="371"/>
      <c r="B2" s="371"/>
      <c r="C2" s="371"/>
      <c r="D2" s="372"/>
      <c r="E2" s="371"/>
      <c r="F2" s="371"/>
      <c r="G2" s="371"/>
      <c r="H2" s="373"/>
      <c r="I2" s="373"/>
    </row>
    <row r="3" spans="1:26" s="370" customFormat="1" ht="39" customHeight="1" x14ac:dyDescent="0.25">
      <c r="A3" s="1380" t="s">
        <v>984</v>
      </c>
      <c r="B3" s="1380"/>
      <c r="C3" s="1380"/>
      <c r="D3" s="1380"/>
      <c r="E3" s="1380"/>
      <c r="F3" s="1380"/>
      <c r="G3" s="1380"/>
      <c r="H3" s="1380"/>
      <c r="I3" s="1380"/>
      <c r="J3" s="1380"/>
      <c r="K3" s="202"/>
      <c r="L3" s="202"/>
      <c r="M3" s="202"/>
      <c r="N3" s="202"/>
      <c r="O3" s="202"/>
    </row>
    <row r="4" spans="1:26" s="370" customFormat="1" ht="7.5" customHeight="1" x14ac:dyDescent="0.25">
      <c r="A4" s="374"/>
      <c r="B4" s="374"/>
      <c r="C4" s="374"/>
      <c r="D4" s="323"/>
      <c r="E4" s="374"/>
      <c r="F4" s="374"/>
      <c r="G4" s="374"/>
      <c r="H4" s="375"/>
      <c r="I4" s="375"/>
    </row>
    <row r="5" spans="1:26" s="376" customFormat="1" ht="18.75" customHeight="1" x14ac:dyDescent="0.25">
      <c r="A5" s="1380" t="s">
        <v>974</v>
      </c>
      <c r="B5" s="1380"/>
      <c r="C5" s="1380"/>
      <c r="D5" s="1380"/>
      <c r="E5" s="1380"/>
      <c r="F5" s="1380"/>
      <c r="G5" s="1380"/>
      <c r="H5" s="1380"/>
      <c r="I5" s="1380"/>
    </row>
    <row r="6" spans="1:26" s="376" customFormat="1" ht="9.75" customHeight="1" x14ac:dyDescent="0.25">
      <c r="A6" s="202"/>
      <c r="B6" s="202"/>
      <c r="C6" s="202"/>
      <c r="D6" s="202"/>
      <c r="E6" s="202"/>
      <c r="F6" s="202"/>
      <c r="G6" s="202"/>
      <c r="H6" s="202"/>
      <c r="I6" s="202"/>
    </row>
    <row r="7" spans="1:26" s="376" customFormat="1" ht="18.75" customHeight="1" x14ac:dyDescent="0.25">
      <c r="A7" s="1381" t="s">
        <v>975</v>
      </c>
      <c r="B7" s="1381"/>
      <c r="C7" s="1381"/>
      <c r="D7" s="1381"/>
      <c r="E7" s="1381"/>
      <c r="F7" s="1381"/>
      <c r="G7" s="1381"/>
      <c r="H7" s="1381"/>
      <c r="I7" s="1381"/>
    </row>
    <row r="8" spans="1:26" s="370" customFormat="1" ht="8.25" customHeight="1" x14ac:dyDescent="0.25">
      <c r="A8" s="371"/>
      <c r="B8" s="371"/>
      <c r="C8" s="371"/>
      <c r="D8" s="372"/>
      <c r="E8" s="371"/>
      <c r="F8" s="371"/>
      <c r="G8" s="371"/>
      <c r="H8" s="373"/>
      <c r="I8" s="373"/>
    </row>
    <row r="9" spans="1:26" s="370" customFormat="1" ht="13.5" customHeight="1" x14ac:dyDescent="0.25">
      <c r="A9" s="1382" t="s">
        <v>976</v>
      </c>
      <c r="B9" s="1382"/>
      <c r="C9" s="1382"/>
      <c r="D9" s="1382"/>
      <c r="E9" s="1382"/>
      <c r="F9" s="1382"/>
      <c r="G9" s="1382"/>
      <c r="H9" s="1382"/>
      <c r="I9" s="1382"/>
    </row>
    <row r="10" spans="1:26" s="370" customFormat="1" ht="14.25" customHeight="1" x14ac:dyDescent="0.25">
      <c r="A10" s="1382" t="s">
        <v>977</v>
      </c>
      <c r="B10" s="1382"/>
      <c r="C10" s="1382"/>
      <c r="D10" s="1382"/>
      <c r="E10" s="1382"/>
      <c r="F10" s="1382"/>
      <c r="G10" s="1382"/>
      <c r="H10" s="1382"/>
      <c r="I10" s="1382"/>
    </row>
    <row r="11" spans="1:26" s="370" customFormat="1" ht="14.25" customHeight="1" x14ac:dyDescent="0.25">
      <c r="A11" s="374"/>
      <c r="B11" s="374"/>
      <c r="C11" s="374"/>
      <c r="D11" s="374"/>
      <c r="E11" s="374"/>
      <c r="F11" s="374"/>
      <c r="G11" s="374"/>
      <c r="H11" s="374"/>
      <c r="I11" s="374"/>
    </row>
    <row r="12" spans="1:26" s="459" customFormat="1" ht="17.25" customHeight="1" x14ac:dyDescent="0.3">
      <c r="A12" s="1041" t="s">
        <v>1116</v>
      </c>
      <c r="B12" s="1041"/>
      <c r="C12" s="1041"/>
      <c r="D12" s="1041"/>
      <c r="E12" s="1041"/>
      <c r="F12" s="1041"/>
      <c r="G12" s="1041"/>
      <c r="H12" s="1041"/>
      <c r="I12" s="1041"/>
      <c r="J12" s="1041"/>
      <c r="K12" s="196"/>
      <c r="L12" s="196"/>
      <c r="M12" s="196"/>
      <c r="N12" s="204"/>
      <c r="O12" s="204"/>
      <c r="P12" s="204"/>
      <c r="Q12" s="204"/>
      <c r="R12" s="204"/>
      <c r="S12" s="204"/>
      <c r="T12" s="204"/>
      <c r="U12" s="204"/>
    </row>
    <row r="13" spans="1:26" s="370" customFormat="1" ht="14.25" customHeight="1" x14ac:dyDescent="0.25">
      <c r="A13" s="374"/>
      <c r="B13" s="374"/>
      <c r="C13" s="374"/>
      <c r="D13" s="323"/>
      <c r="E13" s="374"/>
      <c r="F13" s="374"/>
      <c r="G13" s="374"/>
      <c r="H13" s="375"/>
      <c r="I13" s="375"/>
    </row>
    <row r="14" spans="1:26" s="281" customFormat="1" ht="18" customHeight="1" x14ac:dyDescent="0.3">
      <c r="A14" s="1041" t="s">
        <v>983</v>
      </c>
      <c r="B14" s="1041"/>
      <c r="C14" s="1041"/>
      <c r="D14" s="1041"/>
      <c r="E14" s="1041"/>
      <c r="F14" s="1041"/>
      <c r="G14" s="1041"/>
      <c r="H14" s="1041"/>
      <c r="I14" s="1041"/>
      <c r="J14" s="1041"/>
      <c r="K14" s="1041"/>
      <c r="L14" s="1041"/>
      <c r="M14" s="1041"/>
      <c r="N14" s="1041"/>
      <c r="O14" s="1041"/>
      <c r="P14" s="1041"/>
      <c r="Q14" s="1041"/>
      <c r="R14" s="1041"/>
      <c r="S14" s="204"/>
      <c r="T14" s="194"/>
      <c r="U14" s="194"/>
      <c r="V14" s="194"/>
      <c r="W14" s="194"/>
      <c r="X14" s="194"/>
      <c r="Y14" s="194"/>
      <c r="Z14" s="194"/>
    </row>
    <row r="15" spans="1:26" ht="27" customHeight="1" x14ac:dyDescent="0.25">
      <c r="A15" s="1385" t="s">
        <v>409</v>
      </c>
      <c r="B15" s="1385" t="s">
        <v>418</v>
      </c>
      <c r="C15" s="1385" t="s">
        <v>410</v>
      </c>
      <c r="D15" s="1362" t="s">
        <v>159</v>
      </c>
      <c r="E15" s="1385" t="s">
        <v>223</v>
      </c>
      <c r="F15" s="1385" t="s">
        <v>411</v>
      </c>
      <c r="G15" s="1385" t="s">
        <v>412</v>
      </c>
      <c r="H15" s="1385" t="s">
        <v>21</v>
      </c>
      <c r="I15" s="1385" t="s">
        <v>413</v>
      </c>
      <c r="J15" s="1385"/>
      <c r="K15" s="287"/>
      <c r="L15" s="287"/>
    </row>
    <row r="16" spans="1:26" ht="22.5" customHeight="1" x14ac:dyDescent="0.25">
      <c r="A16" s="1385"/>
      <c r="B16" s="1385"/>
      <c r="C16" s="1385"/>
      <c r="D16" s="1362"/>
      <c r="E16" s="1385"/>
      <c r="F16" s="1385"/>
      <c r="G16" s="1385"/>
      <c r="H16" s="1385"/>
      <c r="I16" s="25" t="s">
        <v>440</v>
      </c>
      <c r="J16" s="25" t="s">
        <v>19</v>
      </c>
      <c r="K16" s="287"/>
      <c r="L16" s="287"/>
    </row>
    <row r="17" spans="1:12" x14ac:dyDescent="0.25">
      <c r="A17" s="19">
        <v>1</v>
      </c>
      <c r="B17" s="19">
        <v>2</v>
      </c>
      <c r="C17" s="19">
        <v>3</v>
      </c>
      <c r="D17" s="19">
        <v>4</v>
      </c>
      <c r="E17" s="19">
        <v>5</v>
      </c>
      <c r="F17" s="19">
        <v>6</v>
      </c>
      <c r="G17" s="19">
        <v>7</v>
      </c>
      <c r="H17" s="19">
        <v>8</v>
      </c>
      <c r="I17" s="19">
        <v>9</v>
      </c>
      <c r="J17" s="19">
        <v>10</v>
      </c>
    </row>
    <row r="18" spans="1:12" s="322" customFormat="1" ht="15.75" x14ac:dyDescent="0.25">
      <c r="A18" s="1374" t="s">
        <v>366</v>
      </c>
      <c r="B18" s="1375"/>
      <c r="C18" s="1375"/>
      <c r="D18" s="1375"/>
      <c r="E18" s="1375"/>
      <c r="F18" s="1375"/>
      <c r="G18" s="1375"/>
      <c r="H18" s="1375"/>
      <c r="I18" s="1375"/>
      <c r="J18" s="1376"/>
      <c r="K18" s="380"/>
      <c r="L18" s="380"/>
    </row>
    <row r="19" spans="1:12" ht="38.25" x14ac:dyDescent="0.25">
      <c r="A19" s="19">
        <v>1</v>
      </c>
      <c r="B19" s="19" t="s">
        <v>439</v>
      </c>
      <c r="C19" s="19" t="s">
        <v>443</v>
      </c>
      <c r="D19" s="154" t="s">
        <v>371</v>
      </c>
      <c r="E19" s="19">
        <v>8760</v>
      </c>
      <c r="F19" s="19" t="s">
        <v>165</v>
      </c>
      <c r="G19" s="21" t="s">
        <v>579</v>
      </c>
      <c r="H19" s="59" t="s">
        <v>580</v>
      </c>
      <c r="I19" s="19">
        <v>3.222E-3</v>
      </c>
      <c r="J19" s="155">
        <f>ROUND(3.6*I19*E19/1000,4)</f>
        <v>0.1016</v>
      </c>
      <c r="K19">
        <f>I19</f>
        <v>3.222E-3</v>
      </c>
      <c r="L19">
        <f>J19</f>
        <v>0.1016</v>
      </c>
    </row>
    <row r="20" spans="1:12" x14ac:dyDescent="0.25">
      <c r="A20" s="61" t="s">
        <v>438</v>
      </c>
      <c r="B20" s="61"/>
      <c r="C20" s="61"/>
      <c r="D20" s="61"/>
      <c r="E20" s="61"/>
    </row>
  </sheetData>
  <mergeCells count="18">
    <mergeCell ref="A12:J12"/>
    <mergeCell ref="I15:J15"/>
    <mergeCell ref="A18:J18"/>
    <mergeCell ref="A1:I1"/>
    <mergeCell ref="A3:J3"/>
    <mergeCell ref="A5:I5"/>
    <mergeCell ref="A7:I7"/>
    <mergeCell ref="A9:I9"/>
    <mergeCell ref="A10:I10"/>
    <mergeCell ref="A14:R14"/>
    <mergeCell ref="A15:A16"/>
    <mergeCell ref="B15:B16"/>
    <mergeCell ref="C15:C16"/>
    <mergeCell ref="D15:D16"/>
    <mergeCell ref="E15:E16"/>
    <mergeCell ref="F15:F16"/>
    <mergeCell ref="G15:G16"/>
    <mergeCell ref="H15:H16"/>
  </mergeCells>
  <pageMargins left="0.31496062992125984" right="0.31496062992125984" top="0.78740157480314965" bottom="0.39370078740157483" header="0.31496062992125984" footer="0.19685039370078741"/>
  <pageSetup paperSize="9" firstPageNumber="86" orientation="landscape" useFirstPageNumber="1" r:id="rId1"/>
  <headerFooter>
    <oddFooter>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31"/>
  <sheetViews>
    <sheetView view="pageBreakPreview" zoomScaleNormal="100" zoomScaleSheetLayoutView="100" workbookViewId="0">
      <selection activeCell="L27" sqref="L27:P28"/>
    </sheetView>
  </sheetViews>
  <sheetFormatPr defaultRowHeight="15" x14ac:dyDescent="0.25"/>
  <cols>
    <col min="1" max="1" width="5.42578125" customWidth="1"/>
    <col min="2" max="2" width="24.140625" customWidth="1"/>
    <col min="3" max="3" width="39" customWidth="1"/>
    <col min="4" max="4" width="7.42578125" customWidth="1"/>
    <col min="5" max="5" width="8.42578125" customWidth="1"/>
    <col min="6" max="6" width="10.140625" customWidth="1"/>
    <col min="7" max="7" width="15.85546875" customWidth="1"/>
    <col min="8" max="8" width="7.85546875" customWidth="1"/>
    <col min="9" max="10" width="11" customWidth="1"/>
    <col min="11" max="11" width="11" style="724" customWidth="1"/>
    <col min="12" max="13" width="14.85546875" style="724" customWidth="1"/>
    <col min="14" max="15" width="9.140625" style="724"/>
  </cols>
  <sheetData>
    <row r="1" spans="1:27" s="370" customFormat="1" ht="18" customHeight="1" x14ac:dyDescent="0.25">
      <c r="A1" s="1379" t="s">
        <v>1118</v>
      </c>
      <c r="B1" s="1379"/>
      <c r="C1" s="1379"/>
      <c r="D1" s="1379"/>
      <c r="E1" s="1379"/>
      <c r="F1" s="1379"/>
      <c r="G1" s="1379"/>
      <c r="H1" s="1379"/>
      <c r="I1" s="1379"/>
      <c r="K1" s="725"/>
      <c r="L1" s="725"/>
      <c r="M1" s="725"/>
      <c r="N1" s="725"/>
      <c r="O1" s="725"/>
    </row>
    <row r="2" spans="1:27" s="370" customFormat="1" ht="4.5" customHeight="1" x14ac:dyDescent="0.25">
      <c r="A2" s="371"/>
      <c r="B2" s="371"/>
      <c r="C2" s="371"/>
      <c r="D2" s="372"/>
      <c r="E2" s="371"/>
      <c r="F2" s="371"/>
      <c r="G2" s="371"/>
      <c r="H2" s="373"/>
      <c r="I2" s="373"/>
      <c r="K2" s="725"/>
      <c r="L2" s="725"/>
      <c r="M2" s="725"/>
      <c r="N2" s="725"/>
      <c r="O2" s="725"/>
    </row>
    <row r="3" spans="1:27" s="370" customFormat="1" ht="39" customHeight="1" x14ac:dyDescent="0.25">
      <c r="A3" s="1380" t="s">
        <v>1000</v>
      </c>
      <c r="B3" s="1380"/>
      <c r="C3" s="1380"/>
      <c r="D3" s="1380"/>
      <c r="E3" s="1380"/>
      <c r="F3" s="1380"/>
      <c r="G3" s="1380"/>
      <c r="H3" s="1380"/>
      <c r="I3" s="1380"/>
      <c r="J3" s="1380"/>
      <c r="K3" s="718"/>
      <c r="L3" s="718"/>
      <c r="M3" s="718"/>
      <c r="N3" s="718"/>
      <c r="O3" s="718"/>
      <c r="P3" s="202"/>
    </row>
    <row r="4" spans="1:27" s="370" customFormat="1" ht="7.5" customHeight="1" x14ac:dyDescent="0.25">
      <c r="A4" s="374"/>
      <c r="B4" s="374"/>
      <c r="C4" s="374"/>
      <c r="D4" s="323"/>
      <c r="E4" s="374"/>
      <c r="F4" s="374"/>
      <c r="G4" s="374"/>
      <c r="H4" s="375"/>
      <c r="I4" s="375"/>
      <c r="K4" s="725"/>
      <c r="L4" s="725"/>
      <c r="M4" s="725"/>
      <c r="N4" s="725"/>
      <c r="O4" s="725"/>
    </row>
    <row r="5" spans="1:27" s="376" customFormat="1" ht="18.75" customHeight="1" x14ac:dyDescent="0.25">
      <c r="A5" s="1380" t="s">
        <v>974</v>
      </c>
      <c r="B5" s="1380"/>
      <c r="C5" s="1380"/>
      <c r="D5" s="1380"/>
      <c r="E5" s="1380"/>
      <c r="F5" s="1380"/>
      <c r="G5" s="1380"/>
      <c r="H5" s="1380"/>
      <c r="I5" s="1380"/>
      <c r="K5" s="725"/>
      <c r="L5" s="725"/>
      <c r="M5" s="725"/>
      <c r="N5" s="725"/>
      <c r="O5" s="725"/>
    </row>
    <row r="6" spans="1:27" s="376" customFormat="1" ht="9.75" customHeight="1" x14ac:dyDescent="0.25">
      <c r="A6" s="202"/>
      <c r="B6" s="202"/>
      <c r="C6" s="202"/>
      <c r="D6" s="202"/>
      <c r="E6" s="202"/>
      <c r="F6" s="202"/>
      <c r="G6" s="202"/>
      <c r="H6" s="202"/>
      <c r="I6" s="202"/>
      <c r="K6" s="725"/>
      <c r="L6" s="725"/>
      <c r="M6" s="725"/>
      <c r="N6" s="725"/>
      <c r="O6" s="725"/>
    </row>
    <row r="7" spans="1:27" s="376" customFormat="1" ht="18.75" customHeight="1" x14ac:dyDescent="0.25">
      <c r="A7" s="1381" t="s">
        <v>975</v>
      </c>
      <c r="B7" s="1381"/>
      <c r="C7" s="1381"/>
      <c r="D7" s="1381"/>
      <c r="E7" s="1381"/>
      <c r="F7" s="1381"/>
      <c r="G7" s="1381"/>
      <c r="H7" s="1381"/>
      <c r="I7" s="1381"/>
      <c r="K7" s="725"/>
      <c r="L7" s="725"/>
      <c r="M7" s="725"/>
      <c r="N7" s="725"/>
      <c r="O7" s="725"/>
    </row>
    <row r="8" spans="1:27" s="370" customFormat="1" ht="8.25" customHeight="1" x14ac:dyDescent="0.25">
      <c r="A8" s="371"/>
      <c r="B8" s="371"/>
      <c r="C8" s="371"/>
      <c r="D8" s="372"/>
      <c r="E8" s="371"/>
      <c r="F8" s="371"/>
      <c r="G8" s="371"/>
      <c r="H8" s="373"/>
      <c r="I8" s="373"/>
      <c r="K8" s="725"/>
      <c r="L8" s="725"/>
      <c r="M8" s="725"/>
      <c r="N8" s="725"/>
      <c r="O8" s="725"/>
    </row>
    <row r="9" spans="1:27" s="370" customFormat="1" ht="13.5" customHeight="1" x14ac:dyDescent="0.25">
      <c r="A9" s="1382" t="s">
        <v>976</v>
      </c>
      <c r="B9" s="1382"/>
      <c r="C9" s="1382"/>
      <c r="D9" s="1382"/>
      <c r="E9" s="1382"/>
      <c r="F9" s="1382"/>
      <c r="G9" s="1382"/>
      <c r="H9" s="1382"/>
      <c r="I9" s="1382"/>
      <c r="K9" s="725"/>
      <c r="L9" s="725"/>
      <c r="M9" s="725"/>
      <c r="N9" s="725"/>
      <c r="O9" s="725"/>
    </row>
    <row r="10" spans="1:27" s="370" customFormat="1" ht="14.25" customHeight="1" x14ac:dyDescent="0.25">
      <c r="A10" s="1382" t="s">
        <v>977</v>
      </c>
      <c r="B10" s="1382"/>
      <c r="C10" s="1382"/>
      <c r="D10" s="1382"/>
      <c r="E10" s="1382"/>
      <c r="F10" s="1382"/>
      <c r="G10" s="1382"/>
      <c r="H10" s="1382"/>
      <c r="I10" s="1382"/>
      <c r="K10" s="725"/>
      <c r="L10" s="725"/>
      <c r="M10" s="725"/>
      <c r="N10" s="725"/>
      <c r="O10" s="725"/>
    </row>
    <row r="11" spans="1:27" s="370" customFormat="1" ht="14.25" customHeight="1" x14ac:dyDescent="0.25">
      <c r="A11" s="374"/>
      <c r="B11" s="374"/>
      <c r="C11" s="374"/>
      <c r="D11" s="323"/>
      <c r="E11" s="374"/>
      <c r="F11" s="374"/>
      <c r="G11" s="374"/>
      <c r="H11" s="375"/>
      <c r="I11" s="375"/>
      <c r="K11" s="725"/>
      <c r="L11" s="725"/>
      <c r="M11" s="725"/>
      <c r="N11" s="725"/>
      <c r="O11" s="725"/>
    </row>
    <row r="12" spans="1:27" s="459" customFormat="1" ht="17.25" customHeight="1" x14ac:dyDescent="0.3">
      <c r="A12" s="1041" t="s">
        <v>1119</v>
      </c>
      <c r="B12" s="1041"/>
      <c r="C12" s="1041"/>
      <c r="D12" s="1041"/>
      <c r="E12" s="1041"/>
      <c r="F12" s="1041"/>
      <c r="G12" s="1041"/>
      <c r="H12" s="1041"/>
      <c r="I12" s="1041"/>
      <c r="J12" s="1041"/>
      <c r="K12" s="723"/>
      <c r="L12" s="723"/>
      <c r="M12" s="723"/>
      <c r="N12" s="738"/>
      <c r="O12" s="738"/>
      <c r="P12" s="204"/>
      <c r="Q12" s="204"/>
      <c r="R12" s="204"/>
      <c r="S12" s="204"/>
      <c r="T12" s="204"/>
      <c r="U12" s="204"/>
    </row>
    <row r="13" spans="1:27" s="459" customFormat="1" ht="17.25" customHeight="1" x14ac:dyDescent="0.3">
      <c r="A13" s="204"/>
      <c r="B13" s="204"/>
      <c r="C13" s="204"/>
      <c r="D13" s="204"/>
      <c r="E13" s="204"/>
      <c r="F13" s="204"/>
      <c r="G13" s="204"/>
      <c r="H13" s="204"/>
      <c r="I13" s="204"/>
      <c r="J13" s="204"/>
      <c r="K13" s="723"/>
      <c r="L13" s="723"/>
      <c r="M13" s="723"/>
      <c r="N13" s="738"/>
      <c r="O13" s="738"/>
      <c r="P13" s="204"/>
      <c r="Q13" s="204"/>
      <c r="R13" s="204"/>
      <c r="S13" s="204"/>
      <c r="T13" s="204"/>
      <c r="U13" s="204"/>
    </row>
    <row r="14" spans="1:27" s="281" customFormat="1" ht="18" customHeight="1" x14ac:dyDescent="0.3">
      <c r="A14" s="1041" t="s">
        <v>1001</v>
      </c>
      <c r="B14" s="1041"/>
      <c r="C14" s="1041"/>
      <c r="D14" s="1041"/>
      <c r="E14" s="1041"/>
      <c r="F14" s="1041"/>
      <c r="G14" s="1041"/>
      <c r="H14" s="1041"/>
      <c r="I14" s="1041"/>
      <c r="J14" s="1041"/>
      <c r="K14" s="1041"/>
      <c r="L14" s="1041"/>
      <c r="M14" s="1041"/>
      <c r="N14" s="1041"/>
      <c r="O14" s="1041"/>
      <c r="P14" s="1041"/>
      <c r="Q14" s="1041"/>
      <c r="R14" s="1041"/>
      <c r="S14" s="1041"/>
      <c r="T14" s="204"/>
      <c r="U14" s="194"/>
      <c r="V14" s="194"/>
      <c r="W14" s="194"/>
      <c r="X14" s="194"/>
      <c r="Y14" s="194"/>
      <c r="Z14" s="194"/>
      <c r="AA14" s="194"/>
    </row>
    <row r="15" spans="1:27" ht="27" customHeight="1" x14ac:dyDescent="0.25">
      <c r="A15" s="1385" t="s">
        <v>409</v>
      </c>
      <c r="B15" s="1385" t="s">
        <v>418</v>
      </c>
      <c r="C15" s="1385" t="s">
        <v>410</v>
      </c>
      <c r="D15" s="1362" t="s">
        <v>159</v>
      </c>
      <c r="E15" s="1385" t="s">
        <v>223</v>
      </c>
      <c r="F15" s="1385" t="s">
        <v>411</v>
      </c>
      <c r="G15" s="1385" t="s">
        <v>412</v>
      </c>
      <c r="H15" s="1385" t="s">
        <v>21</v>
      </c>
      <c r="I15" s="1385" t="s">
        <v>413</v>
      </c>
      <c r="J15" s="1385"/>
      <c r="K15" s="287"/>
      <c r="L15" s="287"/>
      <c r="M15" s="287"/>
    </row>
    <row r="16" spans="1:27" ht="22.5" customHeight="1" x14ac:dyDescent="0.25">
      <c r="A16" s="1385"/>
      <c r="B16" s="1385"/>
      <c r="C16" s="1385"/>
      <c r="D16" s="1362"/>
      <c r="E16" s="1385"/>
      <c r="F16" s="1385"/>
      <c r="G16" s="1385"/>
      <c r="H16" s="1385"/>
      <c r="I16" s="25" t="s">
        <v>440</v>
      </c>
      <c r="J16" s="25" t="s">
        <v>19</v>
      </c>
      <c r="K16" s="287"/>
      <c r="L16" s="287"/>
      <c r="M16" s="287"/>
    </row>
    <row r="17" spans="1:13" ht="16.5" customHeight="1" x14ac:dyDescent="0.25">
      <c r="A17" s="25">
        <v>1</v>
      </c>
      <c r="B17" s="25">
        <v>2</v>
      </c>
      <c r="C17" s="25">
        <v>3</v>
      </c>
      <c r="D17" s="19">
        <v>4</v>
      </c>
      <c r="E17" s="25">
        <v>5</v>
      </c>
      <c r="F17" s="25">
        <v>6</v>
      </c>
      <c r="G17" s="25">
        <v>7</v>
      </c>
      <c r="H17" s="25">
        <v>8</v>
      </c>
      <c r="I17" s="25">
        <v>9</v>
      </c>
      <c r="J17" s="25">
        <v>10</v>
      </c>
      <c r="K17" s="287"/>
      <c r="L17" s="287"/>
      <c r="M17" s="287"/>
    </row>
    <row r="18" spans="1:13" ht="15.75" x14ac:dyDescent="0.25">
      <c r="A18" s="1374" t="s">
        <v>1153</v>
      </c>
      <c r="B18" s="1412"/>
      <c r="C18" s="1412"/>
      <c r="D18" s="1412"/>
      <c r="E18" s="1412"/>
      <c r="F18" s="1412"/>
      <c r="G18" s="1412"/>
      <c r="H18" s="1412"/>
      <c r="I18" s="1412"/>
      <c r="J18" s="1413"/>
      <c r="K18" s="729"/>
    </row>
    <row r="19" spans="1:13" ht="15.75" x14ac:dyDescent="0.25">
      <c r="A19" s="1414" t="s">
        <v>991</v>
      </c>
      <c r="B19" s="1415"/>
      <c r="C19" s="1415"/>
      <c r="D19" s="1415"/>
      <c r="E19" s="1415"/>
      <c r="F19" s="1415"/>
      <c r="G19" s="1415"/>
      <c r="H19" s="1415"/>
      <c r="I19" s="1415"/>
      <c r="J19" s="1416"/>
      <c r="K19" s="730"/>
    </row>
    <row r="20" spans="1:13" ht="56.25" customHeight="1" x14ac:dyDescent="0.25">
      <c r="A20" s="22">
        <v>1</v>
      </c>
      <c r="B20" s="22" t="s">
        <v>992</v>
      </c>
      <c r="C20" s="22" t="s">
        <v>993</v>
      </c>
      <c r="D20" s="206" t="s">
        <v>685</v>
      </c>
      <c r="E20" s="22">
        <v>1862</v>
      </c>
      <c r="F20" s="19" t="s">
        <v>165</v>
      </c>
      <c r="G20" s="42" t="s">
        <v>423</v>
      </c>
      <c r="H20" s="161" t="s">
        <v>424</v>
      </c>
      <c r="I20" s="19">
        <v>8.3299999999999997E-4</v>
      </c>
      <c r="J20" s="19">
        <f>ROUND(3.6*I20*E20/1000,5)</f>
        <v>5.5799999999999999E-3</v>
      </c>
      <c r="K20" s="287"/>
    </row>
    <row r="21" spans="1:13" ht="57" customHeight="1" x14ac:dyDescent="0.25">
      <c r="A21" s="19">
        <v>2</v>
      </c>
      <c r="B21" s="19" t="s">
        <v>994</v>
      </c>
      <c r="C21" s="19" t="s">
        <v>995</v>
      </c>
      <c r="D21" s="154" t="s">
        <v>686</v>
      </c>
      <c r="E21" s="22">
        <v>1862</v>
      </c>
      <c r="F21" s="19" t="s">
        <v>165</v>
      </c>
      <c r="G21" s="42" t="s">
        <v>423</v>
      </c>
      <c r="H21" s="161" t="s">
        <v>424</v>
      </c>
      <c r="I21" s="19">
        <v>8.3299999999999997E-4</v>
      </c>
      <c r="J21" s="19">
        <f>ROUND(3.6*I21*E21/1000,5)</f>
        <v>5.5799999999999999E-3</v>
      </c>
      <c r="K21" s="287"/>
    </row>
    <row r="22" spans="1:13" ht="51" x14ac:dyDescent="0.25">
      <c r="A22" s="19">
        <v>3</v>
      </c>
      <c r="B22" s="19" t="s">
        <v>996</v>
      </c>
      <c r="C22" s="19" t="s">
        <v>997</v>
      </c>
      <c r="D22" s="154" t="s">
        <v>687</v>
      </c>
      <c r="E22" s="22">
        <v>1862</v>
      </c>
      <c r="F22" s="19" t="s">
        <v>165</v>
      </c>
      <c r="G22" s="21" t="s">
        <v>423</v>
      </c>
      <c r="H22" s="154" t="s">
        <v>424</v>
      </c>
      <c r="I22" s="19">
        <v>8.3299999999999997E-4</v>
      </c>
      <c r="J22" s="19">
        <f>ROUND(3.6*I22*E22/1000,5)</f>
        <v>5.5799999999999999E-3</v>
      </c>
      <c r="K22" s="287"/>
    </row>
    <row r="23" spans="1:13" ht="51" x14ac:dyDescent="0.25">
      <c r="A23" s="25">
        <v>4</v>
      </c>
      <c r="B23" s="25" t="s">
        <v>998</v>
      </c>
      <c r="C23" s="25" t="s">
        <v>999</v>
      </c>
      <c r="D23" s="161" t="s">
        <v>580</v>
      </c>
      <c r="E23" s="22">
        <v>1862</v>
      </c>
      <c r="F23" s="25" t="s">
        <v>165</v>
      </c>
      <c r="G23" s="42" t="s">
        <v>423</v>
      </c>
      <c r="H23" s="161" t="s">
        <v>424</v>
      </c>
      <c r="I23" s="25">
        <v>8.3299999999999997E-4</v>
      </c>
      <c r="J23" s="25">
        <f>ROUND(3.6*I23*E23/1000,5)</f>
        <v>5.5799999999999999E-3</v>
      </c>
      <c r="K23" s="287">
        <f>SUM(I20:I23)</f>
        <v>3.3319999999999999E-3</v>
      </c>
      <c r="L23" s="287">
        <f>SUM(J20:J23)</f>
        <v>2.232E-2</v>
      </c>
    </row>
    <row r="24" spans="1:13" x14ac:dyDescent="0.25">
      <c r="A24" s="61" t="s">
        <v>438</v>
      </c>
    </row>
    <row r="25" spans="1:13" ht="15.75" x14ac:dyDescent="0.25">
      <c r="A25" s="1374" t="s">
        <v>147</v>
      </c>
      <c r="B25" s="1412"/>
      <c r="C25" s="1412"/>
      <c r="D25" s="1412"/>
      <c r="E25" s="1412"/>
      <c r="F25" s="1412"/>
      <c r="G25" s="1412"/>
      <c r="H25" s="1412"/>
      <c r="I25" s="1412"/>
      <c r="J25" s="1413"/>
      <c r="K25" s="729"/>
    </row>
    <row r="26" spans="1:13" ht="15.75" x14ac:dyDescent="0.25">
      <c r="A26" s="1414" t="s">
        <v>991</v>
      </c>
      <c r="B26" s="1415"/>
      <c r="C26" s="1415"/>
      <c r="D26" s="1415"/>
      <c r="E26" s="1415"/>
      <c r="F26" s="1415"/>
      <c r="G26" s="1415"/>
      <c r="H26" s="1415"/>
      <c r="I26" s="1415"/>
      <c r="J26" s="1416"/>
      <c r="K26" s="730"/>
    </row>
    <row r="27" spans="1:13" ht="56.25" customHeight="1" x14ac:dyDescent="0.25">
      <c r="A27" s="22">
        <v>1</v>
      </c>
      <c r="B27" s="22" t="s">
        <v>992</v>
      </c>
      <c r="C27" s="22" t="s">
        <v>993</v>
      </c>
      <c r="D27" s="206" t="s">
        <v>685</v>
      </c>
      <c r="E27" s="22">
        <v>7446</v>
      </c>
      <c r="F27" s="19" t="s">
        <v>165</v>
      </c>
      <c r="G27" s="42" t="s">
        <v>423</v>
      </c>
      <c r="H27" s="161" t="s">
        <v>424</v>
      </c>
      <c r="I27" s="19">
        <v>8.3299999999999997E-4</v>
      </c>
      <c r="J27" s="19">
        <f>ROUND(3.6*I27*E27/1000,5)</f>
        <v>2.2329999999999999E-2</v>
      </c>
      <c r="K27" s="287"/>
    </row>
    <row r="28" spans="1:13" ht="57" customHeight="1" x14ac:dyDescent="0.25">
      <c r="A28" s="19">
        <v>2</v>
      </c>
      <c r="B28" s="19" t="s">
        <v>994</v>
      </c>
      <c r="C28" s="19" t="s">
        <v>995</v>
      </c>
      <c r="D28" s="154" t="s">
        <v>686</v>
      </c>
      <c r="E28" s="22">
        <v>7446</v>
      </c>
      <c r="F28" s="19" t="s">
        <v>165</v>
      </c>
      <c r="G28" s="42" t="s">
        <v>423</v>
      </c>
      <c r="H28" s="161" t="s">
        <v>424</v>
      </c>
      <c r="I28" s="19">
        <v>8.3299999999999997E-4</v>
      </c>
      <c r="J28" s="19">
        <f>ROUND(3.6*I28*E28/1000,5)</f>
        <v>2.2329999999999999E-2</v>
      </c>
      <c r="K28" s="287"/>
    </row>
    <row r="29" spans="1:13" ht="51" x14ac:dyDescent="0.25">
      <c r="A29" s="19">
        <v>3</v>
      </c>
      <c r="B29" s="19" t="s">
        <v>996</v>
      </c>
      <c r="C29" s="19" t="s">
        <v>997</v>
      </c>
      <c r="D29" s="154" t="s">
        <v>687</v>
      </c>
      <c r="E29" s="22">
        <v>7446</v>
      </c>
      <c r="F29" s="19" t="s">
        <v>165</v>
      </c>
      <c r="G29" s="21" t="s">
        <v>423</v>
      </c>
      <c r="H29" s="154" t="s">
        <v>424</v>
      </c>
      <c r="I29" s="19">
        <v>8.3299999999999997E-4</v>
      </c>
      <c r="J29" s="19">
        <f>ROUND(3.6*I29*E29/1000,5)</f>
        <v>2.2329999999999999E-2</v>
      </c>
      <c r="K29" s="287"/>
    </row>
    <row r="30" spans="1:13" ht="51" x14ac:dyDescent="0.25">
      <c r="A30" s="25">
        <v>4</v>
      </c>
      <c r="B30" s="25" t="s">
        <v>998</v>
      </c>
      <c r="C30" s="25" t="s">
        <v>999</v>
      </c>
      <c r="D30" s="161" t="s">
        <v>580</v>
      </c>
      <c r="E30" s="22">
        <v>7446</v>
      </c>
      <c r="F30" s="25" t="s">
        <v>165</v>
      </c>
      <c r="G30" s="42" t="s">
        <v>423</v>
      </c>
      <c r="H30" s="161" t="s">
        <v>424</v>
      </c>
      <c r="I30" s="25">
        <v>8.3299999999999997E-4</v>
      </c>
      <c r="J30" s="25">
        <f>ROUND(3.6*I30*E30/1000,5)</f>
        <v>2.2329999999999999E-2</v>
      </c>
      <c r="K30" s="287">
        <f>SUM(I27:I30)</f>
        <v>3.3319999999999999E-3</v>
      </c>
      <c r="L30" s="287">
        <f>SUM(J27:J30)</f>
        <v>8.9319999999999997E-2</v>
      </c>
    </row>
    <row r="31" spans="1:13" x14ac:dyDescent="0.25">
      <c r="A31" s="61" t="s">
        <v>438</v>
      </c>
    </row>
  </sheetData>
  <mergeCells count="21">
    <mergeCell ref="E15:E16"/>
    <mergeCell ref="F15:F16"/>
    <mergeCell ref="G15:G16"/>
    <mergeCell ref="H15:H16"/>
    <mergeCell ref="I15:J15"/>
    <mergeCell ref="A25:J25"/>
    <mergeCell ref="A26:J26"/>
    <mergeCell ref="A10:I10"/>
    <mergeCell ref="A1:I1"/>
    <mergeCell ref="A3:J3"/>
    <mergeCell ref="A5:I5"/>
    <mergeCell ref="A7:I7"/>
    <mergeCell ref="A9:I9"/>
    <mergeCell ref="A12:J12"/>
    <mergeCell ref="A18:J18"/>
    <mergeCell ref="A19:J19"/>
    <mergeCell ref="A14:S14"/>
    <mergeCell ref="A15:A16"/>
    <mergeCell ref="B15:B16"/>
    <mergeCell ref="C15:C16"/>
    <mergeCell ref="D15:D16"/>
  </mergeCells>
  <pageMargins left="0.31496062992125984" right="0.31496062992125984" top="0.78740157480314965" bottom="0.39370078740157483" header="0.31496062992125984" footer="0.19685039370078741"/>
  <pageSetup paperSize="9" firstPageNumber="87" orientation="landscape" useFirstPageNumber="1" r:id="rId1"/>
  <headerFooter>
    <oddFooter>&amp;R&amp;P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C29"/>
  <sheetViews>
    <sheetView view="pageBreakPreview" zoomScaleNormal="100" zoomScaleSheetLayoutView="100" workbookViewId="0">
      <selection activeCell="E20" sqref="E20"/>
    </sheetView>
  </sheetViews>
  <sheetFormatPr defaultRowHeight="15" x14ac:dyDescent="0.25"/>
  <cols>
    <col min="1" max="1" width="5.42578125" customWidth="1"/>
    <col min="2" max="2" width="24.140625" customWidth="1"/>
    <col min="3" max="3" width="39" customWidth="1"/>
    <col min="4" max="4" width="7.42578125" customWidth="1"/>
    <col min="5" max="5" width="8.42578125" customWidth="1"/>
    <col min="6" max="6" width="10.140625" customWidth="1"/>
    <col min="7" max="7" width="15.85546875" customWidth="1"/>
    <col min="8" max="8" width="7.85546875" customWidth="1"/>
    <col min="9" max="13" width="11" customWidth="1"/>
    <col min="14" max="15" width="14.85546875" customWidth="1"/>
  </cols>
  <sheetData>
    <row r="1" spans="1:29" s="370" customFormat="1" ht="18" customHeight="1" x14ac:dyDescent="0.25">
      <c r="A1" s="1379" t="s">
        <v>1530</v>
      </c>
      <c r="B1" s="1379"/>
      <c r="C1" s="1379"/>
      <c r="D1" s="1379"/>
      <c r="E1" s="1379"/>
      <c r="F1" s="1379"/>
      <c r="G1" s="1379"/>
      <c r="H1" s="1379"/>
      <c r="I1" s="1379"/>
      <c r="K1" s="268"/>
      <c r="L1" s="268"/>
      <c r="M1" s="268"/>
    </row>
    <row r="2" spans="1:29" s="370" customFormat="1" ht="4.5" customHeight="1" x14ac:dyDescent="0.25">
      <c r="A2" s="371"/>
      <c r="B2" s="371"/>
      <c r="C2" s="371"/>
      <c r="D2" s="372"/>
      <c r="E2" s="371"/>
      <c r="F2" s="371"/>
      <c r="G2" s="371"/>
      <c r="H2" s="373"/>
      <c r="I2" s="373"/>
      <c r="K2" s="268"/>
      <c r="L2" s="268"/>
      <c r="M2" s="268"/>
    </row>
    <row r="3" spans="1:29" s="370" customFormat="1" ht="39" customHeight="1" x14ac:dyDescent="0.25">
      <c r="A3" s="1380" t="s">
        <v>1012</v>
      </c>
      <c r="B3" s="1380"/>
      <c r="C3" s="1380"/>
      <c r="D3" s="1380"/>
      <c r="E3" s="1380"/>
      <c r="F3" s="1380"/>
      <c r="G3" s="1380"/>
      <c r="H3" s="1380"/>
      <c r="I3" s="1380"/>
      <c r="J3" s="1380"/>
      <c r="K3" s="183"/>
      <c r="L3" s="183"/>
      <c r="M3" s="183"/>
      <c r="N3" s="202"/>
      <c r="O3" s="202"/>
      <c r="P3" s="202"/>
      <c r="Q3" s="202"/>
      <c r="R3" s="202"/>
    </row>
    <row r="4" spans="1:29" s="370" customFormat="1" ht="7.5" customHeight="1" x14ac:dyDescent="0.25">
      <c r="A4" s="374"/>
      <c r="B4" s="374"/>
      <c r="C4" s="374"/>
      <c r="D4" s="323"/>
      <c r="E4" s="374"/>
      <c r="F4" s="374"/>
      <c r="G4" s="374"/>
      <c r="H4" s="375"/>
      <c r="I4" s="375"/>
      <c r="K4" s="268"/>
      <c r="L4" s="268"/>
      <c r="M4" s="268"/>
    </row>
    <row r="5" spans="1:29" s="376" customFormat="1" ht="18.75" customHeight="1" x14ac:dyDescent="0.25">
      <c r="A5" s="1380" t="s">
        <v>974</v>
      </c>
      <c r="B5" s="1380"/>
      <c r="C5" s="1380"/>
      <c r="D5" s="1380"/>
      <c r="E5" s="1380"/>
      <c r="F5" s="1380"/>
      <c r="G5" s="1380"/>
      <c r="H5" s="1380"/>
      <c r="I5" s="1380"/>
      <c r="K5" s="266"/>
      <c r="L5" s="266"/>
      <c r="M5" s="266"/>
    </row>
    <row r="6" spans="1:29" s="376" customFormat="1" ht="9.75" customHeight="1" x14ac:dyDescent="0.25">
      <c r="A6" s="202"/>
      <c r="B6" s="202"/>
      <c r="C6" s="202"/>
      <c r="D6" s="202"/>
      <c r="E6" s="202"/>
      <c r="F6" s="202"/>
      <c r="G6" s="202"/>
      <c r="H6" s="202"/>
      <c r="I6" s="202"/>
      <c r="K6" s="266"/>
      <c r="L6" s="266"/>
      <c r="M6" s="266"/>
    </row>
    <row r="7" spans="1:29" s="376" customFormat="1" ht="18.75" customHeight="1" x14ac:dyDescent="0.25">
      <c r="A7" s="1381" t="s">
        <v>975</v>
      </c>
      <c r="B7" s="1381"/>
      <c r="C7" s="1381"/>
      <c r="D7" s="1381"/>
      <c r="E7" s="1381"/>
      <c r="F7" s="1381"/>
      <c r="G7" s="1381"/>
      <c r="H7" s="1381"/>
      <c r="I7" s="1381"/>
      <c r="K7" s="266"/>
      <c r="L7" s="266"/>
      <c r="M7" s="266"/>
    </row>
    <row r="8" spans="1:29" s="370" customFormat="1" ht="8.25" customHeight="1" x14ac:dyDescent="0.25">
      <c r="A8" s="371"/>
      <c r="B8" s="371"/>
      <c r="C8" s="371"/>
      <c r="D8" s="372"/>
      <c r="E8" s="371"/>
      <c r="F8" s="371"/>
      <c r="G8" s="371"/>
      <c r="H8" s="373"/>
      <c r="I8" s="373"/>
      <c r="K8" s="268"/>
      <c r="L8" s="268"/>
      <c r="M8" s="268"/>
    </row>
    <row r="9" spans="1:29" s="370" customFormat="1" ht="13.5" customHeight="1" x14ac:dyDescent="0.25">
      <c r="A9" s="1382" t="s">
        <v>976</v>
      </c>
      <c r="B9" s="1382"/>
      <c r="C9" s="1382"/>
      <c r="D9" s="1382"/>
      <c r="E9" s="1382"/>
      <c r="F9" s="1382"/>
      <c r="G9" s="1382"/>
      <c r="H9" s="1382"/>
      <c r="I9" s="1382"/>
      <c r="K9" s="268"/>
      <c r="L9" s="268"/>
      <c r="M9" s="268"/>
    </row>
    <row r="10" spans="1:29" s="370" customFormat="1" ht="14.25" customHeight="1" x14ac:dyDescent="0.25">
      <c r="A10" s="1382" t="s">
        <v>977</v>
      </c>
      <c r="B10" s="1382"/>
      <c r="C10" s="1382"/>
      <c r="D10" s="1382"/>
      <c r="E10" s="1382"/>
      <c r="F10" s="1382"/>
      <c r="G10" s="1382"/>
      <c r="H10" s="1382"/>
      <c r="I10" s="1382"/>
      <c r="K10" s="268"/>
      <c r="L10" s="268"/>
      <c r="M10" s="268"/>
    </row>
    <row r="11" spans="1:29" s="370" customFormat="1" ht="14.25" customHeight="1" x14ac:dyDescent="0.25">
      <c r="A11" s="374"/>
      <c r="B11" s="374"/>
      <c r="C11" s="374"/>
      <c r="D11" s="323"/>
      <c r="E11" s="374"/>
      <c r="F11" s="374"/>
      <c r="G11" s="374"/>
      <c r="H11" s="375"/>
      <c r="I11" s="375"/>
      <c r="K11" s="268"/>
      <c r="L11" s="268"/>
      <c r="M11" s="268"/>
    </row>
    <row r="12" spans="1:29" s="459" customFormat="1" ht="17.25" customHeight="1" x14ac:dyDescent="0.3">
      <c r="A12" s="1041" t="s">
        <v>1121</v>
      </c>
      <c r="B12" s="1041"/>
      <c r="C12" s="1041"/>
      <c r="D12" s="1041"/>
      <c r="E12" s="1041"/>
      <c r="F12" s="1041"/>
      <c r="G12" s="1041"/>
      <c r="H12" s="1041"/>
      <c r="I12" s="1041"/>
      <c r="J12" s="1041"/>
      <c r="K12" s="196"/>
      <c r="L12" s="196"/>
      <c r="M12" s="196"/>
      <c r="N12" s="204"/>
      <c r="O12" s="204"/>
      <c r="P12" s="204"/>
      <c r="Q12" s="204"/>
      <c r="R12" s="204"/>
      <c r="S12" s="204"/>
      <c r="T12" s="204"/>
      <c r="U12" s="204"/>
    </row>
    <row r="13" spans="1:29" s="459" customFormat="1" ht="17.25" customHeight="1" x14ac:dyDescent="0.3">
      <c r="A13" s="204"/>
      <c r="B13" s="204"/>
      <c r="C13" s="204"/>
      <c r="D13" s="204"/>
      <c r="E13" s="204"/>
      <c r="F13" s="204"/>
      <c r="G13" s="204"/>
      <c r="H13" s="204"/>
      <c r="I13" s="204"/>
      <c r="J13" s="204"/>
      <c r="K13" s="196"/>
      <c r="L13" s="196"/>
      <c r="M13" s="196"/>
      <c r="N13" s="204"/>
      <c r="O13" s="204"/>
      <c r="P13" s="204"/>
      <c r="Q13" s="204"/>
      <c r="R13" s="204"/>
      <c r="S13" s="204"/>
      <c r="T13" s="204"/>
      <c r="U13" s="204"/>
    </row>
    <row r="14" spans="1:29" s="281" customFormat="1" ht="34.5" customHeight="1" x14ac:dyDescent="0.3">
      <c r="A14" s="1041" t="s">
        <v>1529</v>
      </c>
      <c r="B14" s="1041"/>
      <c r="C14" s="1041"/>
      <c r="D14" s="1041"/>
      <c r="E14" s="1041"/>
      <c r="F14" s="1041"/>
      <c r="G14" s="1041"/>
      <c r="H14" s="1041"/>
      <c r="I14" s="1041"/>
      <c r="J14" s="1041"/>
      <c r="K14" s="204"/>
      <c r="L14" s="204"/>
      <c r="M14" s="196"/>
      <c r="N14" s="196"/>
      <c r="O14" s="196"/>
      <c r="P14" s="196"/>
      <c r="Q14" s="196"/>
      <c r="R14" s="196"/>
      <c r="S14" s="196"/>
      <c r="T14" s="196"/>
      <c r="U14" s="196"/>
      <c r="V14" s="204"/>
      <c r="W14" s="194"/>
      <c r="X14" s="194"/>
      <c r="Y14" s="194"/>
      <c r="Z14" s="194"/>
      <c r="AA14" s="194"/>
      <c r="AB14" s="194"/>
      <c r="AC14" s="194"/>
    </row>
    <row r="15" spans="1:29" ht="27" customHeight="1" x14ac:dyDescent="0.25">
      <c r="A15" s="1385" t="s">
        <v>409</v>
      </c>
      <c r="B15" s="1385" t="s">
        <v>418</v>
      </c>
      <c r="C15" s="1385" t="s">
        <v>410</v>
      </c>
      <c r="D15" s="1362" t="s">
        <v>159</v>
      </c>
      <c r="E15" s="1385" t="s">
        <v>223</v>
      </c>
      <c r="F15" s="1385" t="s">
        <v>411</v>
      </c>
      <c r="G15" s="1385" t="s">
        <v>412</v>
      </c>
      <c r="H15" s="1385" t="s">
        <v>21</v>
      </c>
      <c r="I15" s="1385" t="s">
        <v>413</v>
      </c>
      <c r="J15" s="1385"/>
      <c r="K15" s="287"/>
      <c r="L15" s="287"/>
      <c r="M15" s="287"/>
      <c r="N15" s="287"/>
      <c r="O15" s="287"/>
    </row>
    <row r="16" spans="1:29" ht="22.5" customHeight="1" x14ac:dyDescent="0.25">
      <c r="A16" s="1385"/>
      <c r="B16" s="1385"/>
      <c r="C16" s="1385"/>
      <c r="D16" s="1362"/>
      <c r="E16" s="1385"/>
      <c r="F16" s="1385"/>
      <c r="G16" s="1385"/>
      <c r="H16" s="1385"/>
      <c r="I16" s="25" t="s">
        <v>440</v>
      </c>
      <c r="J16" s="25" t="s">
        <v>19</v>
      </c>
      <c r="K16" s="287"/>
      <c r="L16" s="287"/>
      <c r="M16" s="287"/>
      <c r="N16" s="287"/>
      <c r="O16" s="287"/>
    </row>
    <row r="17" spans="1:15" ht="16.5" customHeight="1" x14ac:dyDescent="0.25">
      <c r="A17" s="25">
        <v>1</v>
      </c>
      <c r="B17" s="25">
        <v>2</v>
      </c>
      <c r="C17" s="25">
        <v>3</v>
      </c>
      <c r="D17" s="19">
        <v>4</v>
      </c>
      <c r="E17" s="25">
        <v>5</v>
      </c>
      <c r="F17" s="25">
        <v>6</v>
      </c>
      <c r="G17" s="25">
        <v>7</v>
      </c>
      <c r="H17" s="25">
        <v>8</v>
      </c>
      <c r="I17" s="25">
        <v>9</v>
      </c>
      <c r="J17" s="25">
        <v>10</v>
      </c>
      <c r="K17" s="287"/>
      <c r="L17" s="287"/>
      <c r="M17" s="287"/>
      <c r="N17" s="287"/>
      <c r="O17" s="287"/>
    </row>
    <row r="18" spans="1:15" x14ac:dyDescent="0.25">
      <c r="A18" s="1370" t="s">
        <v>1153</v>
      </c>
      <c r="B18" s="1418"/>
      <c r="C18" s="1418"/>
      <c r="D18" s="1418"/>
      <c r="E18" s="1418"/>
      <c r="F18" s="1418"/>
      <c r="G18" s="1418"/>
      <c r="H18" s="1418"/>
      <c r="I18" s="1418"/>
      <c r="J18" s="1419"/>
      <c r="K18" s="197"/>
      <c r="L18" s="197"/>
    </row>
    <row r="19" spans="1:15" x14ac:dyDescent="0.25">
      <c r="A19" s="1407" t="s">
        <v>1528</v>
      </c>
      <c r="B19" s="1408"/>
      <c r="C19" s="1408"/>
      <c r="D19" s="1408"/>
      <c r="E19" s="1408"/>
      <c r="F19" s="1408"/>
      <c r="G19" s="1408"/>
      <c r="H19" s="1408"/>
      <c r="I19" s="1408"/>
      <c r="J19" s="1409"/>
      <c r="K19" s="736"/>
      <c r="L19" s="736"/>
    </row>
    <row r="20" spans="1:15" ht="89.25" x14ac:dyDescent="0.25">
      <c r="A20" s="43">
        <v>1</v>
      </c>
      <c r="B20" s="43" t="s">
        <v>1003</v>
      </c>
      <c r="C20" s="43" t="s">
        <v>1004</v>
      </c>
      <c r="D20" s="206" t="s">
        <v>1005</v>
      </c>
      <c r="E20" s="43">
        <v>2190</v>
      </c>
      <c r="F20" s="25" t="s">
        <v>165</v>
      </c>
      <c r="G20" s="42" t="s">
        <v>579</v>
      </c>
      <c r="H20" s="165" t="s">
        <v>580</v>
      </c>
      <c r="I20" s="25">
        <v>8.0000000000000004E-4</v>
      </c>
      <c r="J20" s="25">
        <f>ROUND(3.6*I20*E20/1000,5)</f>
        <v>6.3099999999999996E-3</v>
      </c>
      <c r="K20" s="287"/>
      <c r="L20" s="287"/>
      <c r="M20" s="61"/>
    </row>
    <row r="21" spans="1:15" s="24" customFormat="1" ht="76.5" x14ac:dyDescent="0.25">
      <c r="A21" s="22">
        <v>2</v>
      </c>
      <c r="B21" s="22" t="s">
        <v>1006</v>
      </c>
      <c r="C21" s="22" t="s">
        <v>1007</v>
      </c>
      <c r="D21" s="206" t="s">
        <v>1008</v>
      </c>
      <c r="E21" s="22">
        <v>2190</v>
      </c>
      <c r="F21" s="19" t="s">
        <v>1480</v>
      </c>
      <c r="G21" s="21" t="s">
        <v>579</v>
      </c>
      <c r="H21" s="59" t="s">
        <v>580</v>
      </c>
      <c r="I21" s="19">
        <v>2.6700000000000002E-2</v>
      </c>
      <c r="J21" s="19">
        <f>ROUND(3.6*I21*E21/1000,5)</f>
        <v>0.21049999999999999</v>
      </c>
      <c r="K21" s="728"/>
      <c r="L21" s="728"/>
      <c r="M21" s="712"/>
    </row>
    <row r="22" spans="1:15" s="24" customFormat="1" ht="76.5" x14ac:dyDescent="0.25">
      <c r="A22" s="22">
        <v>3</v>
      </c>
      <c r="B22" s="22" t="s">
        <v>1009</v>
      </c>
      <c r="C22" s="22" t="s">
        <v>1010</v>
      </c>
      <c r="D22" s="206" t="s">
        <v>133</v>
      </c>
      <c r="E22" s="22">
        <v>2190</v>
      </c>
      <c r="F22" s="19" t="s">
        <v>1480</v>
      </c>
      <c r="G22" s="714" t="s">
        <v>442</v>
      </c>
      <c r="H22" s="135">
        <v>3119</v>
      </c>
      <c r="I22" s="19">
        <v>2.6700000000000002E-2</v>
      </c>
      <c r="J22" s="19">
        <f>ROUND(3.6*I22*E22/1000,5)</f>
        <v>0.21049999999999999</v>
      </c>
      <c r="K22" s="728">
        <f>SUM(I20:I22)</f>
        <v>5.4199999999999998E-2</v>
      </c>
      <c r="L22" s="728">
        <f>SUM(J20:J22)</f>
        <v>0.42730999999999997</v>
      </c>
      <c r="M22" s="712"/>
    </row>
    <row r="23" spans="1:15" x14ac:dyDescent="0.25">
      <c r="A23" s="61" t="s">
        <v>438</v>
      </c>
    </row>
    <row r="24" spans="1:15" x14ac:dyDescent="0.25">
      <c r="A24" s="1370" t="s">
        <v>147</v>
      </c>
      <c r="B24" s="1418"/>
      <c r="C24" s="1418"/>
      <c r="D24" s="1418"/>
      <c r="E24" s="1418"/>
      <c r="F24" s="1418"/>
      <c r="G24" s="1418"/>
      <c r="H24" s="1418"/>
      <c r="I24" s="1418"/>
      <c r="J24" s="1419"/>
      <c r="K24" s="197"/>
      <c r="L24" s="197"/>
    </row>
    <row r="25" spans="1:15" x14ac:dyDescent="0.25">
      <c r="A25" s="1407" t="s">
        <v>1528</v>
      </c>
      <c r="B25" s="1408"/>
      <c r="C25" s="1408"/>
      <c r="D25" s="1408"/>
      <c r="E25" s="1408"/>
      <c r="F25" s="1408"/>
      <c r="G25" s="1408"/>
      <c r="H25" s="1408"/>
      <c r="I25" s="1408"/>
      <c r="J25" s="1409"/>
      <c r="K25" s="736"/>
      <c r="L25" s="736"/>
    </row>
    <row r="26" spans="1:15" ht="89.25" x14ac:dyDescent="0.25">
      <c r="A26" s="43">
        <v>1</v>
      </c>
      <c r="B26" s="43" t="s">
        <v>1003</v>
      </c>
      <c r="C26" s="43" t="s">
        <v>1004</v>
      </c>
      <c r="D26" s="206" t="s">
        <v>1005</v>
      </c>
      <c r="E26" s="43">
        <v>8760</v>
      </c>
      <c r="F26" s="25" t="s">
        <v>165</v>
      </c>
      <c r="G26" s="42" t="s">
        <v>579</v>
      </c>
      <c r="H26" s="165" t="s">
        <v>580</v>
      </c>
      <c r="I26" s="25">
        <v>8.0000000000000004E-4</v>
      </c>
      <c r="J26" s="25">
        <f>ROUND(3.6*I26*E26/1000,5)</f>
        <v>2.5229999999999999E-2</v>
      </c>
      <c r="K26" s="287"/>
      <c r="L26" s="287"/>
      <c r="M26" s="61"/>
    </row>
    <row r="27" spans="1:15" s="24" customFormat="1" ht="76.5" x14ac:dyDescent="0.25">
      <c r="A27" s="22">
        <v>2</v>
      </c>
      <c r="B27" s="22" t="s">
        <v>1006</v>
      </c>
      <c r="C27" s="22" t="s">
        <v>1007</v>
      </c>
      <c r="D27" s="206" t="s">
        <v>1008</v>
      </c>
      <c r="E27" s="22">
        <v>8760</v>
      </c>
      <c r="F27" s="19" t="s">
        <v>1480</v>
      </c>
      <c r="G27" s="21" t="s">
        <v>579</v>
      </c>
      <c r="H27" s="59" t="s">
        <v>580</v>
      </c>
      <c r="I27" s="19">
        <v>2.6700000000000002E-2</v>
      </c>
      <c r="J27" s="19">
        <f>ROUND(3.6*I27*E27/1000,5)</f>
        <v>0.84201000000000004</v>
      </c>
      <c r="K27" s="728"/>
      <c r="L27" s="728"/>
      <c r="M27" s="712"/>
    </row>
    <row r="28" spans="1:15" s="24" customFormat="1" ht="76.5" x14ac:dyDescent="0.25">
      <c r="A28" s="22">
        <v>3</v>
      </c>
      <c r="B28" s="22" t="s">
        <v>1009</v>
      </c>
      <c r="C28" s="22" t="s">
        <v>1010</v>
      </c>
      <c r="D28" s="206" t="s">
        <v>133</v>
      </c>
      <c r="E28" s="22">
        <v>8760</v>
      </c>
      <c r="F28" s="19" t="s">
        <v>1480</v>
      </c>
      <c r="G28" s="714" t="s">
        <v>442</v>
      </c>
      <c r="H28" s="135">
        <v>3119</v>
      </c>
      <c r="I28" s="19">
        <v>2.6700000000000002E-2</v>
      </c>
      <c r="J28" s="19">
        <f>ROUND(3.6*I28*E28/1000,5)</f>
        <v>0.84201000000000004</v>
      </c>
      <c r="K28" s="728">
        <f>SUM(I26:I28)</f>
        <v>5.4199999999999998E-2</v>
      </c>
      <c r="L28" s="728">
        <f>SUM(J26:J28)</f>
        <v>1.7092499999999999</v>
      </c>
      <c r="M28" s="712" t="s">
        <v>1011</v>
      </c>
    </row>
    <row r="29" spans="1:15" x14ac:dyDescent="0.25">
      <c r="A29" s="61" t="s">
        <v>438</v>
      </c>
    </row>
  </sheetData>
  <mergeCells count="21">
    <mergeCell ref="A12:J12"/>
    <mergeCell ref="A25:J25"/>
    <mergeCell ref="A24:J24"/>
    <mergeCell ref="A14:J14"/>
    <mergeCell ref="A15:A16"/>
    <mergeCell ref="B15:B16"/>
    <mergeCell ref="C15:C16"/>
    <mergeCell ref="D15:D16"/>
    <mergeCell ref="E15:E16"/>
    <mergeCell ref="F15:F16"/>
    <mergeCell ref="G15:G16"/>
    <mergeCell ref="H15:H16"/>
    <mergeCell ref="I15:J15"/>
    <mergeCell ref="A18:J18"/>
    <mergeCell ref="A19:J19"/>
    <mergeCell ref="A10:I10"/>
    <mergeCell ref="A1:I1"/>
    <mergeCell ref="A3:J3"/>
    <mergeCell ref="A5:I5"/>
    <mergeCell ref="A7:I7"/>
    <mergeCell ref="A9:I9"/>
  </mergeCells>
  <pageMargins left="0.31496062992125984" right="0.31496062992125984" top="0.78740157480314965" bottom="0.39370078740157483" header="0.31496062992125984" footer="0.31496062992125984"/>
  <pageSetup paperSize="9" firstPageNumber="89" orientation="landscape" useFirstPageNumber="1" r:id="rId1"/>
  <headerFooter>
    <oddFooter>&amp;R&amp;P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45"/>
  <sheetViews>
    <sheetView view="pageBreakPreview" topLeftCell="A39" zoomScaleNormal="100" zoomScaleSheetLayoutView="100" workbookViewId="0">
      <selection activeCell="M62" sqref="M62"/>
    </sheetView>
  </sheetViews>
  <sheetFormatPr defaultRowHeight="15" x14ac:dyDescent="0.25"/>
  <cols>
    <col min="1" max="1" width="6.28515625" customWidth="1"/>
    <col min="2" max="2" width="14.42578125" customWidth="1"/>
    <col min="3" max="3" width="8.7109375" customWidth="1"/>
    <col min="4" max="4" width="4.7109375" customWidth="1"/>
    <col min="5" max="5" width="4.28515625" customWidth="1"/>
    <col min="6" max="6" width="4" customWidth="1"/>
    <col min="7" max="7" width="3.85546875" customWidth="1"/>
    <col min="8" max="8" width="4.28515625" customWidth="1"/>
    <col min="9" max="9" width="4.140625" customWidth="1"/>
    <col min="10" max="10" width="3.7109375" customWidth="1"/>
    <col min="11" max="11" width="3.5703125" customWidth="1"/>
    <col min="12" max="12" width="3.7109375" customWidth="1"/>
    <col min="13" max="13" width="3.28515625" customWidth="1"/>
    <col min="14" max="14" width="4.5703125" customWidth="1"/>
    <col min="15" max="15" width="6.42578125" customWidth="1"/>
    <col min="16" max="16" width="5.140625" customWidth="1"/>
    <col min="17" max="17" width="7.7109375" customWidth="1"/>
    <col min="18" max="18" width="4.5703125" customWidth="1"/>
    <col min="19" max="20" width="3.7109375" customWidth="1"/>
    <col min="21" max="21" width="11.5703125" customWidth="1"/>
    <col min="22" max="22" width="4.7109375" customWidth="1"/>
    <col min="23" max="23" width="5.140625" customWidth="1"/>
    <col min="24" max="24" width="6.85546875" customWidth="1"/>
    <col min="25" max="25" width="6.7109375" customWidth="1"/>
    <col min="26" max="26" width="8.85546875" style="724" customWidth="1"/>
    <col min="27" max="27" width="8.5703125" style="724" customWidth="1"/>
    <col min="28" max="30" width="9.140625" style="724"/>
  </cols>
  <sheetData>
    <row r="1" spans="1:30" s="331" customFormat="1" ht="21.75" customHeight="1" x14ac:dyDescent="0.3">
      <c r="A1" s="1276" t="s">
        <v>1014</v>
      </c>
      <c r="B1" s="1276"/>
      <c r="C1" s="1276"/>
      <c r="D1" s="1276"/>
      <c r="E1" s="1276"/>
      <c r="F1" s="1276"/>
      <c r="G1" s="1276"/>
      <c r="H1" s="1276"/>
      <c r="I1" s="1276"/>
      <c r="J1" s="1276"/>
      <c r="K1" s="1276"/>
      <c r="L1" s="1276"/>
      <c r="M1" s="1276"/>
      <c r="N1" s="1276"/>
      <c r="O1" s="1276"/>
      <c r="P1" s="1276"/>
      <c r="Q1" s="1276"/>
      <c r="R1" s="1276"/>
      <c r="S1" s="1276"/>
      <c r="T1" s="1276"/>
      <c r="U1" s="1276"/>
      <c r="V1" s="1276"/>
      <c r="W1" s="1276"/>
      <c r="X1" s="1276"/>
      <c r="Y1" s="1276"/>
      <c r="Z1" s="741"/>
      <c r="AA1" s="741"/>
      <c r="AB1" s="741"/>
      <c r="AC1" s="741"/>
      <c r="AD1" s="741"/>
    </row>
    <row r="2" spans="1:30" s="331" customFormat="1" ht="15" customHeight="1" x14ac:dyDescent="0.25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741"/>
      <c r="AA2" s="741"/>
      <c r="AB2" s="741"/>
      <c r="AC2" s="741"/>
      <c r="AD2" s="741"/>
    </row>
    <row r="3" spans="1:30" s="194" customFormat="1" ht="15.75" x14ac:dyDescent="0.25">
      <c r="A3" s="1037" t="s">
        <v>796</v>
      </c>
      <c r="B3" s="1037"/>
      <c r="C3" s="1037"/>
      <c r="D3" s="1037"/>
      <c r="E3" s="1037"/>
      <c r="F3" s="1037"/>
      <c r="G3" s="1037"/>
      <c r="H3" s="1037"/>
      <c r="I3" s="1037"/>
      <c r="J3" s="1037"/>
      <c r="K3" s="1037"/>
      <c r="L3" s="1037"/>
      <c r="M3" s="1037"/>
      <c r="N3" s="1037"/>
      <c r="O3" s="1037"/>
      <c r="Z3" s="723"/>
      <c r="AA3" s="723"/>
      <c r="AB3" s="723"/>
      <c r="AC3" s="723"/>
      <c r="AD3" s="723"/>
    </row>
    <row r="4" spans="1:30" s="194" customFormat="1" ht="21" customHeight="1" x14ac:dyDescent="0.25">
      <c r="A4" s="1038" t="s">
        <v>926</v>
      </c>
      <c r="B4" s="1038"/>
      <c r="C4" s="1038"/>
      <c r="D4" s="1038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718"/>
      <c r="AA4" s="718"/>
      <c r="AB4" s="723"/>
      <c r="AC4" s="723"/>
      <c r="AD4" s="723"/>
    </row>
    <row r="5" spans="1:30" s="194" customFormat="1" ht="12.75" customHeight="1" x14ac:dyDescent="0.25">
      <c r="A5" s="188"/>
      <c r="B5" s="188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718"/>
      <c r="AA5" s="718"/>
      <c r="AB5" s="723"/>
      <c r="AC5" s="723"/>
      <c r="AD5" s="723"/>
    </row>
    <row r="6" spans="1:30" s="331" customFormat="1" ht="21" customHeight="1" x14ac:dyDescent="0.25">
      <c r="A6" s="1066" t="s">
        <v>927</v>
      </c>
      <c r="B6" s="1066"/>
      <c r="C6" s="1066"/>
      <c r="D6" s="1066"/>
      <c r="E6" s="1066"/>
      <c r="F6" s="1066"/>
      <c r="G6" s="1066"/>
      <c r="H6" s="1066"/>
      <c r="I6" s="1066"/>
      <c r="J6" s="1066"/>
      <c r="K6" s="1066"/>
      <c r="L6" s="1066"/>
      <c r="M6" s="1066"/>
      <c r="N6" s="1066"/>
      <c r="O6" s="1066"/>
      <c r="P6" s="1066"/>
      <c r="Q6" s="1066"/>
      <c r="R6" s="1066"/>
      <c r="S6" s="1066"/>
      <c r="T6" s="1066"/>
      <c r="U6" s="1066"/>
      <c r="V6" s="1066"/>
      <c r="W6" s="333"/>
      <c r="X6" s="333"/>
      <c r="Y6" s="333"/>
      <c r="Z6" s="741"/>
      <c r="AA6" s="741"/>
      <c r="AB6" s="741"/>
      <c r="AC6" s="741"/>
      <c r="AD6" s="741"/>
    </row>
    <row r="7" spans="1:30" s="331" customFormat="1" ht="21" customHeight="1" x14ac:dyDescent="0.25">
      <c r="A7" s="271"/>
      <c r="B7" s="1421" t="s">
        <v>928</v>
      </c>
      <c r="C7" s="1421"/>
      <c r="D7" s="1421"/>
      <c r="E7" s="1421"/>
      <c r="F7" s="1421"/>
      <c r="G7" s="1421"/>
      <c r="H7" s="1421"/>
      <c r="I7" s="1421"/>
      <c r="J7" s="1421"/>
      <c r="K7" s="1421"/>
      <c r="L7" s="1421"/>
      <c r="M7" s="1421"/>
      <c r="N7" s="1421"/>
      <c r="O7" s="1421"/>
      <c r="P7" s="1421"/>
      <c r="Q7" s="1421"/>
      <c r="R7" s="1421"/>
      <c r="S7" s="1421"/>
      <c r="T7" s="1421"/>
      <c r="U7" s="1421"/>
      <c r="V7" s="271"/>
      <c r="W7" s="333"/>
      <c r="X7" s="333"/>
      <c r="Y7" s="333"/>
      <c r="Z7" s="741"/>
      <c r="AA7" s="741"/>
      <c r="AB7" s="741"/>
      <c r="AC7" s="741"/>
      <c r="AD7" s="741"/>
    </row>
    <row r="8" spans="1:30" s="331" customFormat="1" ht="10.5" customHeight="1" x14ac:dyDescent="0.25">
      <c r="A8" s="271"/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271"/>
      <c r="W8" s="333"/>
      <c r="X8" s="333"/>
      <c r="Y8" s="333"/>
      <c r="Z8" s="741"/>
      <c r="AA8" s="741"/>
      <c r="AB8" s="741"/>
      <c r="AC8" s="741"/>
      <c r="AD8" s="741"/>
    </row>
    <row r="9" spans="1:30" s="335" customFormat="1" ht="22.5" customHeight="1" x14ac:dyDescent="0.3">
      <c r="A9" s="1275" t="s">
        <v>929</v>
      </c>
      <c r="B9" s="1275"/>
      <c r="C9" s="1275"/>
      <c r="D9" s="1275"/>
      <c r="E9" s="1275"/>
      <c r="F9" s="1275"/>
      <c r="G9" s="1275"/>
      <c r="H9" s="1275"/>
      <c r="I9" s="1275"/>
      <c r="J9" s="1275"/>
      <c r="K9" s="1275"/>
      <c r="L9" s="1275"/>
      <c r="M9" s="1275"/>
      <c r="N9" s="1275"/>
      <c r="O9" s="1275"/>
      <c r="P9" s="1275"/>
      <c r="Q9" s="1275"/>
      <c r="R9" s="1275"/>
      <c r="S9" s="1275"/>
      <c r="T9" s="1275"/>
      <c r="U9" s="1275"/>
      <c r="V9" s="1275"/>
      <c r="W9" s="1275"/>
      <c r="X9" s="1275"/>
      <c r="Y9" s="1275"/>
      <c r="Z9" s="739"/>
      <c r="AA9" s="739"/>
      <c r="AB9" s="741"/>
      <c r="AC9" s="741"/>
      <c r="AD9" s="741"/>
    </row>
    <row r="10" spans="1:30" s="182" customFormat="1" ht="22.5" customHeight="1" x14ac:dyDescent="0.3">
      <c r="A10" s="973" t="s">
        <v>930</v>
      </c>
      <c r="B10" s="973"/>
      <c r="C10" s="973"/>
      <c r="D10" s="973"/>
      <c r="E10" s="973"/>
      <c r="F10" s="973"/>
      <c r="G10" s="973"/>
      <c r="H10" s="973"/>
      <c r="I10" s="973"/>
      <c r="J10" s="973"/>
      <c r="K10" s="973"/>
      <c r="L10" s="973"/>
      <c r="M10" s="973"/>
      <c r="N10" s="973"/>
      <c r="O10" s="973"/>
      <c r="P10" s="973"/>
      <c r="Q10" s="973"/>
      <c r="R10" s="973"/>
      <c r="S10" s="973"/>
      <c r="T10" s="973"/>
      <c r="U10" s="973"/>
      <c r="V10" s="973"/>
      <c r="W10" s="973"/>
      <c r="X10" s="973"/>
      <c r="Y10" s="973"/>
      <c r="Z10" s="742"/>
      <c r="AA10" s="742"/>
      <c r="AB10" s="740"/>
      <c r="AC10" s="740"/>
      <c r="AD10" s="740"/>
    </row>
    <row r="11" spans="1:30" s="182" customFormat="1" ht="8.25" customHeight="1" x14ac:dyDescent="0.3">
      <c r="A11" s="205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742"/>
      <c r="AA11" s="742"/>
      <c r="AB11" s="740"/>
      <c r="AC11" s="740"/>
      <c r="AD11" s="740"/>
    </row>
    <row r="12" spans="1:30" s="335" customFormat="1" ht="22.5" customHeight="1" x14ac:dyDescent="0.3">
      <c r="A12" s="1275" t="s">
        <v>931</v>
      </c>
      <c r="B12" s="1275"/>
      <c r="C12" s="1275"/>
      <c r="D12" s="1275"/>
      <c r="E12" s="1275"/>
      <c r="F12" s="1275"/>
      <c r="G12" s="1275"/>
      <c r="H12" s="1275"/>
      <c r="I12" s="1275"/>
      <c r="J12" s="1275"/>
      <c r="K12" s="1275"/>
      <c r="L12" s="1275"/>
      <c r="M12" s="1275"/>
      <c r="N12" s="1275"/>
      <c r="O12" s="1275"/>
      <c r="P12" s="1275"/>
      <c r="Q12" s="1275"/>
      <c r="R12" s="1275"/>
      <c r="S12" s="1275"/>
      <c r="T12" s="1275"/>
      <c r="U12" s="1275"/>
      <c r="V12" s="1275"/>
      <c r="W12" s="1275"/>
      <c r="X12" s="1275"/>
      <c r="Y12" s="1275"/>
      <c r="Z12" s="739"/>
      <c r="AA12" s="739"/>
      <c r="AB12" s="741"/>
      <c r="AC12" s="741"/>
      <c r="AD12" s="741"/>
    </row>
    <row r="13" spans="1:30" s="182" customFormat="1" ht="22.5" customHeight="1" x14ac:dyDescent="0.3">
      <c r="A13" s="973" t="s">
        <v>932</v>
      </c>
      <c r="B13" s="973"/>
      <c r="C13" s="973"/>
      <c r="D13" s="973"/>
      <c r="E13" s="973"/>
      <c r="F13" s="973"/>
      <c r="G13" s="973"/>
      <c r="H13" s="973"/>
      <c r="I13" s="973"/>
      <c r="J13" s="973"/>
      <c r="K13" s="973"/>
      <c r="L13" s="973"/>
      <c r="M13" s="973"/>
      <c r="N13" s="973"/>
      <c r="O13" s="973"/>
      <c r="P13" s="973"/>
      <c r="Q13" s="973"/>
      <c r="R13" s="973"/>
      <c r="S13" s="973"/>
      <c r="T13" s="973"/>
      <c r="U13" s="973"/>
      <c r="V13" s="973"/>
      <c r="W13" s="973"/>
      <c r="X13" s="973"/>
      <c r="Y13" s="973"/>
      <c r="Z13" s="742"/>
      <c r="AA13" s="742"/>
      <c r="AB13" s="740"/>
      <c r="AC13" s="740"/>
      <c r="AD13" s="740"/>
    </row>
    <row r="14" spans="1:30" s="182" customFormat="1" ht="11.25" customHeight="1" x14ac:dyDescent="0.3">
      <c r="A14" s="205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742"/>
      <c r="AA14" s="742"/>
      <c r="AB14" s="740"/>
      <c r="AC14" s="740"/>
      <c r="AD14" s="740"/>
    </row>
    <row r="15" spans="1:30" s="194" customFormat="1" ht="15.75" x14ac:dyDescent="0.25">
      <c r="A15" s="1038" t="s">
        <v>801</v>
      </c>
      <c r="B15" s="1038"/>
      <c r="C15" s="1038"/>
      <c r="D15" s="1038"/>
      <c r="E15" s="1038"/>
      <c r="F15" s="1038"/>
      <c r="G15" s="1038"/>
      <c r="H15" s="1038"/>
      <c r="I15" s="1038"/>
      <c r="J15" s="1038"/>
      <c r="K15" s="1038"/>
      <c r="L15" s="1038"/>
      <c r="M15" s="1038"/>
      <c r="N15" s="1038"/>
      <c r="O15" s="1038"/>
      <c r="Z15" s="723"/>
      <c r="AA15" s="723"/>
      <c r="AB15" s="723"/>
      <c r="AC15" s="723"/>
      <c r="AD15" s="723"/>
    </row>
    <row r="16" spans="1:30" s="331" customFormat="1" ht="15.75" customHeight="1" x14ac:dyDescent="0.25">
      <c r="A16" s="1066" t="s">
        <v>933</v>
      </c>
      <c r="B16" s="1066"/>
      <c r="C16" s="1066"/>
      <c r="D16" s="1066"/>
      <c r="E16" s="1066"/>
      <c r="F16" s="1066"/>
      <c r="G16" s="1066"/>
      <c r="H16" s="1066"/>
      <c r="I16" s="1066"/>
      <c r="J16" s="1066"/>
      <c r="K16" s="1066"/>
      <c r="L16" s="1066"/>
      <c r="M16" s="1066"/>
      <c r="N16" s="1066"/>
      <c r="O16" s="1066"/>
      <c r="P16" s="1066"/>
      <c r="Q16" s="1066"/>
      <c r="R16" s="1066"/>
      <c r="S16" s="1066"/>
      <c r="T16" s="1066"/>
      <c r="U16" s="1066"/>
      <c r="V16" s="1066"/>
      <c r="W16" s="333"/>
      <c r="X16" s="333"/>
      <c r="Y16" s="333"/>
      <c r="Z16" s="741"/>
      <c r="AA16" s="741"/>
      <c r="AB16" s="741"/>
      <c r="AC16" s="741"/>
      <c r="AD16" s="741"/>
    </row>
    <row r="17" spans="1:30" s="331" customFormat="1" ht="13.5" customHeight="1" x14ac:dyDescent="0.25">
      <c r="A17" s="1066" t="s">
        <v>934</v>
      </c>
      <c r="B17" s="1066"/>
      <c r="C17" s="1066"/>
      <c r="D17" s="1066"/>
      <c r="E17" s="1066"/>
      <c r="F17" s="1066"/>
      <c r="G17" s="1066"/>
      <c r="H17" s="1066"/>
      <c r="I17" s="1066"/>
      <c r="J17" s="1066"/>
      <c r="K17" s="1066"/>
      <c r="L17" s="1066"/>
      <c r="M17" s="1066"/>
      <c r="N17" s="1066"/>
      <c r="O17" s="1066"/>
      <c r="P17" s="1066"/>
      <c r="Q17" s="1066"/>
      <c r="R17" s="1066"/>
      <c r="S17" s="1066"/>
      <c r="T17" s="1066"/>
      <c r="U17" s="1066"/>
      <c r="V17" s="1066"/>
      <c r="W17" s="333"/>
      <c r="X17" s="333"/>
      <c r="Y17" s="333"/>
      <c r="Z17" s="741"/>
      <c r="AA17" s="741"/>
      <c r="AB17" s="741"/>
      <c r="AC17" s="741"/>
      <c r="AD17" s="741"/>
    </row>
    <row r="18" spans="1:30" s="331" customFormat="1" ht="30" customHeight="1" x14ac:dyDescent="0.25">
      <c r="A18" s="1066" t="s">
        <v>935</v>
      </c>
      <c r="B18" s="1066"/>
      <c r="C18" s="1066"/>
      <c r="D18" s="1066"/>
      <c r="E18" s="1066"/>
      <c r="F18" s="1066"/>
      <c r="G18" s="1066"/>
      <c r="H18" s="1066"/>
      <c r="I18" s="1066"/>
      <c r="J18" s="1066"/>
      <c r="K18" s="1066"/>
      <c r="L18" s="1066"/>
      <c r="M18" s="1066"/>
      <c r="N18" s="1066"/>
      <c r="O18" s="1066"/>
      <c r="P18" s="1066"/>
      <c r="Q18" s="1066"/>
      <c r="R18" s="1066"/>
      <c r="S18" s="1066"/>
      <c r="T18" s="1066"/>
      <c r="U18" s="1066"/>
      <c r="V18" s="1066"/>
      <c r="W18" s="1066"/>
      <c r="X18" s="1066"/>
      <c r="Y18" s="1066"/>
      <c r="Z18" s="739"/>
      <c r="AA18" s="739"/>
      <c r="AB18" s="741"/>
      <c r="AC18" s="741"/>
      <c r="AD18" s="741"/>
    </row>
    <row r="19" spans="1:30" s="331" customFormat="1" ht="16.5" customHeight="1" x14ac:dyDescent="0.25">
      <c r="A19" s="1066" t="s">
        <v>936</v>
      </c>
      <c r="B19" s="1066"/>
      <c r="C19" s="1066"/>
      <c r="D19" s="1066"/>
      <c r="E19" s="1066"/>
      <c r="F19" s="1066"/>
      <c r="G19" s="1066"/>
      <c r="H19" s="1066"/>
      <c r="I19" s="1066"/>
      <c r="J19" s="1066"/>
      <c r="K19" s="1066"/>
      <c r="L19" s="1066"/>
      <c r="M19" s="1066"/>
      <c r="N19" s="1066"/>
      <c r="O19" s="1066"/>
      <c r="P19" s="1066"/>
      <c r="Q19" s="1066"/>
      <c r="R19" s="1066"/>
      <c r="S19" s="1066"/>
      <c r="T19" s="1066"/>
      <c r="U19" s="1066"/>
      <c r="V19" s="1066"/>
      <c r="W19" s="1066"/>
      <c r="X19" s="1066"/>
      <c r="Y19" s="1066"/>
      <c r="Z19" s="739"/>
      <c r="AA19" s="739"/>
      <c r="AB19" s="741"/>
      <c r="AC19" s="741"/>
      <c r="AD19" s="741"/>
    </row>
    <row r="20" spans="1:30" s="331" customFormat="1" ht="30" customHeight="1" x14ac:dyDescent="0.25">
      <c r="A20" s="1066" t="s">
        <v>937</v>
      </c>
      <c r="B20" s="1066"/>
      <c r="C20" s="1066"/>
      <c r="D20" s="1066"/>
      <c r="E20" s="1066"/>
      <c r="F20" s="1066"/>
      <c r="G20" s="1066"/>
      <c r="H20" s="1066"/>
      <c r="I20" s="1066"/>
      <c r="J20" s="1066"/>
      <c r="K20" s="1066"/>
      <c r="L20" s="1066"/>
      <c r="M20" s="1066"/>
      <c r="N20" s="1066"/>
      <c r="O20" s="1066"/>
      <c r="P20" s="1066"/>
      <c r="Q20" s="1066"/>
      <c r="R20" s="1066"/>
      <c r="S20" s="1066"/>
      <c r="T20" s="1066"/>
      <c r="U20" s="1066"/>
      <c r="V20" s="1066"/>
      <c r="W20" s="1066"/>
      <c r="X20" s="1066"/>
      <c r="Y20" s="1066"/>
      <c r="Z20" s="739"/>
      <c r="AA20" s="739"/>
      <c r="AB20" s="741"/>
      <c r="AC20" s="741"/>
      <c r="AD20" s="741"/>
    </row>
    <row r="21" spans="1:30" s="331" customFormat="1" ht="30" customHeight="1" x14ac:dyDescent="0.25">
      <c r="A21" s="1066" t="s">
        <v>938</v>
      </c>
      <c r="B21" s="1066"/>
      <c r="C21" s="1066"/>
      <c r="D21" s="1066"/>
      <c r="E21" s="1066"/>
      <c r="F21" s="1066"/>
      <c r="G21" s="1066"/>
      <c r="H21" s="1066"/>
      <c r="I21" s="1066"/>
      <c r="J21" s="1066"/>
      <c r="K21" s="1066"/>
      <c r="L21" s="1066"/>
      <c r="M21" s="1066"/>
      <c r="N21" s="1066"/>
      <c r="O21" s="1066"/>
      <c r="P21" s="1066"/>
      <c r="Q21" s="1066"/>
      <c r="R21" s="1066"/>
      <c r="S21" s="1066"/>
      <c r="T21" s="1066"/>
      <c r="U21" s="1066"/>
      <c r="V21" s="1066"/>
      <c r="W21" s="1066"/>
      <c r="X21" s="1066"/>
      <c r="Y21" s="1066"/>
      <c r="Z21" s="739"/>
      <c r="AA21" s="739"/>
      <c r="AB21" s="741"/>
      <c r="AC21" s="741"/>
      <c r="AD21" s="741"/>
    </row>
    <row r="22" spans="1:30" s="331" customFormat="1" ht="30.75" customHeight="1" x14ac:dyDescent="0.25">
      <c r="A22" s="1066" t="s">
        <v>939</v>
      </c>
      <c r="B22" s="1066"/>
      <c r="C22" s="1066"/>
      <c r="D22" s="1066"/>
      <c r="E22" s="1066"/>
      <c r="F22" s="1066"/>
      <c r="G22" s="1066"/>
      <c r="H22" s="1066"/>
      <c r="I22" s="1066"/>
      <c r="J22" s="1066"/>
      <c r="K22" s="1066"/>
      <c r="L22" s="1066"/>
      <c r="M22" s="1066"/>
      <c r="N22" s="1066"/>
      <c r="O22" s="1066"/>
      <c r="P22" s="1066"/>
      <c r="Q22" s="1066"/>
      <c r="R22" s="1066"/>
      <c r="S22" s="1066"/>
      <c r="T22" s="1066"/>
      <c r="U22" s="1066"/>
      <c r="V22" s="1066"/>
      <c r="W22" s="1066"/>
      <c r="X22" s="1066"/>
      <c r="Y22" s="1066"/>
      <c r="Z22" s="739"/>
      <c r="AA22" s="739"/>
      <c r="AB22" s="741"/>
      <c r="AC22" s="741"/>
      <c r="AD22" s="741"/>
    </row>
    <row r="23" spans="1:30" s="331" customFormat="1" ht="32.25" customHeight="1" x14ac:dyDescent="0.25">
      <c r="A23" s="1066" t="s">
        <v>940</v>
      </c>
      <c r="B23" s="1066"/>
      <c r="C23" s="1066"/>
      <c r="D23" s="1066"/>
      <c r="E23" s="1066"/>
      <c r="F23" s="1066"/>
      <c r="G23" s="1066"/>
      <c r="H23" s="1066"/>
      <c r="I23" s="1066"/>
      <c r="J23" s="1066"/>
      <c r="K23" s="1066"/>
      <c r="L23" s="1066"/>
      <c r="M23" s="1066"/>
      <c r="N23" s="1066"/>
      <c r="O23" s="1066"/>
      <c r="P23" s="1066"/>
      <c r="Q23" s="1066"/>
      <c r="R23" s="1066"/>
      <c r="S23" s="1066"/>
      <c r="T23" s="1066"/>
      <c r="U23" s="1066"/>
      <c r="V23" s="1066"/>
      <c r="W23" s="1066"/>
      <c r="X23" s="1066"/>
      <c r="Y23" s="1066"/>
      <c r="Z23" s="739"/>
      <c r="AA23" s="739"/>
      <c r="AB23" s="741"/>
      <c r="AC23" s="741"/>
      <c r="AD23" s="741"/>
    </row>
    <row r="24" spans="1:30" s="331" customFormat="1" ht="30.75" customHeight="1" x14ac:dyDescent="0.25">
      <c r="A24" s="1066" t="s">
        <v>941</v>
      </c>
      <c r="B24" s="1066"/>
      <c r="C24" s="1066"/>
      <c r="D24" s="1066"/>
      <c r="E24" s="1066"/>
      <c r="F24" s="1066"/>
      <c r="G24" s="1066"/>
      <c r="H24" s="1066"/>
      <c r="I24" s="1066"/>
      <c r="J24" s="1066"/>
      <c r="K24" s="1066"/>
      <c r="L24" s="1066"/>
      <c r="M24" s="1066"/>
      <c r="N24" s="1066"/>
      <c r="O24" s="1066"/>
      <c r="P24" s="1066"/>
      <c r="Q24" s="1066"/>
      <c r="R24" s="1066"/>
      <c r="S24" s="1066"/>
      <c r="T24" s="1066"/>
      <c r="U24" s="1066"/>
      <c r="V24" s="1066"/>
      <c r="W24" s="1066"/>
      <c r="X24" s="1066"/>
      <c r="Y24" s="1066"/>
      <c r="Z24" s="739"/>
      <c r="AA24" s="739"/>
      <c r="AB24" s="741"/>
      <c r="AC24" s="741"/>
      <c r="AD24" s="741"/>
    </row>
    <row r="25" spans="1:30" s="331" customFormat="1" ht="32.25" customHeight="1" x14ac:dyDescent="0.25">
      <c r="A25" s="1066" t="s">
        <v>942</v>
      </c>
      <c r="B25" s="1066"/>
      <c r="C25" s="1066"/>
      <c r="D25" s="1066"/>
      <c r="E25" s="1066"/>
      <c r="F25" s="1066"/>
      <c r="G25" s="1066"/>
      <c r="H25" s="1066"/>
      <c r="I25" s="1066"/>
      <c r="J25" s="1066"/>
      <c r="K25" s="1066"/>
      <c r="L25" s="1066"/>
      <c r="M25" s="1066"/>
      <c r="N25" s="1066"/>
      <c r="O25" s="1066"/>
      <c r="P25" s="1066"/>
      <c r="Q25" s="1066"/>
      <c r="R25" s="1066"/>
      <c r="S25" s="1066"/>
      <c r="T25" s="1066"/>
      <c r="U25" s="1066"/>
      <c r="V25" s="1066"/>
      <c r="W25" s="1066"/>
      <c r="X25" s="1066"/>
      <c r="Y25" s="1066"/>
      <c r="Z25" s="739"/>
      <c r="AA25" s="739"/>
      <c r="AB25" s="741"/>
      <c r="AC25" s="741"/>
      <c r="AD25" s="741"/>
    </row>
    <row r="26" spans="1:30" s="331" customFormat="1" ht="14.25" customHeight="1" x14ac:dyDescent="0.25">
      <c r="A26" s="1066" t="s">
        <v>943</v>
      </c>
      <c r="B26" s="1066"/>
      <c r="C26" s="1066"/>
      <c r="D26" s="1066"/>
      <c r="E26" s="1066"/>
      <c r="F26" s="1066"/>
      <c r="G26" s="1066"/>
      <c r="H26" s="1066"/>
      <c r="I26" s="1066"/>
      <c r="J26" s="1066"/>
      <c r="K26" s="1066"/>
      <c r="L26" s="1066"/>
      <c r="M26" s="1066"/>
      <c r="N26" s="1066"/>
      <c r="O26" s="1066"/>
      <c r="P26" s="1066"/>
      <c r="Q26" s="1066"/>
      <c r="R26" s="1066"/>
      <c r="S26" s="1066"/>
      <c r="T26" s="1066"/>
      <c r="U26" s="1066"/>
      <c r="V26" s="1066"/>
      <c r="W26" s="1066"/>
      <c r="X26" s="1066"/>
      <c r="Y26" s="1066"/>
      <c r="Z26" s="739"/>
      <c r="AA26" s="739"/>
      <c r="AB26" s="741"/>
      <c r="AC26" s="741"/>
      <c r="AD26" s="741"/>
    </row>
    <row r="27" spans="1:30" s="331" customFormat="1" ht="27" customHeight="1" x14ac:dyDescent="0.25">
      <c r="A27" s="1066" t="s">
        <v>944</v>
      </c>
      <c r="B27" s="1066"/>
      <c r="C27" s="1066"/>
      <c r="D27" s="1066"/>
      <c r="E27" s="1066"/>
      <c r="F27" s="1066"/>
      <c r="G27" s="1066"/>
      <c r="H27" s="1066"/>
      <c r="I27" s="1066"/>
      <c r="J27" s="1066"/>
      <c r="K27" s="1066"/>
      <c r="L27" s="1066"/>
      <c r="M27" s="1066"/>
      <c r="N27" s="1066"/>
      <c r="O27" s="1066"/>
      <c r="P27" s="1066"/>
      <c r="Q27" s="1066"/>
      <c r="R27" s="1066"/>
      <c r="S27" s="1066"/>
      <c r="T27" s="1066"/>
      <c r="U27" s="1066"/>
      <c r="V27" s="1066"/>
      <c r="W27" s="1066"/>
      <c r="X27" s="1066"/>
      <c r="Y27" s="1066"/>
      <c r="Z27" s="739"/>
      <c r="AA27" s="739"/>
      <c r="AB27" s="741"/>
      <c r="AC27" s="741"/>
      <c r="AD27" s="741"/>
    </row>
    <row r="28" spans="1:30" s="331" customFormat="1" ht="18" customHeight="1" x14ac:dyDescent="0.25">
      <c r="A28" s="1066" t="s">
        <v>945</v>
      </c>
      <c r="B28" s="1066"/>
      <c r="C28" s="1066"/>
      <c r="D28" s="1066"/>
      <c r="E28" s="1066"/>
      <c r="F28" s="1066"/>
      <c r="G28" s="1066"/>
      <c r="H28" s="1066"/>
      <c r="I28" s="1066"/>
      <c r="J28" s="1066"/>
      <c r="K28" s="1066"/>
      <c r="L28" s="1066"/>
      <c r="M28" s="1066"/>
      <c r="N28" s="1066"/>
      <c r="O28" s="1066"/>
      <c r="P28" s="1066"/>
      <c r="Q28" s="1066"/>
      <c r="R28" s="1066"/>
      <c r="S28" s="1066"/>
      <c r="T28" s="1066"/>
      <c r="U28" s="1066"/>
      <c r="V28" s="1066"/>
      <c r="W28" s="1066"/>
      <c r="X28" s="1066"/>
      <c r="Y28" s="1066"/>
      <c r="Z28" s="739"/>
      <c r="AA28" s="739"/>
      <c r="AB28" s="741"/>
      <c r="AC28" s="741"/>
      <c r="AD28" s="741"/>
    </row>
    <row r="29" spans="1:30" s="331" customFormat="1" ht="33" customHeight="1" x14ac:dyDescent="0.25">
      <c r="A29" s="1066" t="s">
        <v>946</v>
      </c>
      <c r="B29" s="1066"/>
      <c r="C29" s="1066"/>
      <c r="D29" s="1066"/>
      <c r="E29" s="1066"/>
      <c r="F29" s="1066"/>
      <c r="G29" s="1066"/>
      <c r="H29" s="1066"/>
      <c r="I29" s="1066"/>
      <c r="J29" s="1066"/>
      <c r="K29" s="1066"/>
      <c r="L29" s="1066"/>
      <c r="M29" s="1066"/>
      <c r="N29" s="1066"/>
      <c r="O29" s="1066"/>
      <c r="P29" s="1066"/>
      <c r="Q29" s="1066"/>
      <c r="R29" s="1066"/>
      <c r="S29" s="1066"/>
      <c r="T29" s="1066"/>
      <c r="U29" s="1066"/>
      <c r="V29" s="1066"/>
      <c r="W29" s="1066"/>
      <c r="X29" s="1066"/>
      <c r="Y29" s="1066"/>
      <c r="Z29" s="739"/>
      <c r="AA29" s="739"/>
      <c r="AB29" s="741"/>
      <c r="AC29" s="741"/>
      <c r="AD29" s="741"/>
    </row>
    <row r="30" spans="1:30" s="336" customFormat="1" ht="13.5" customHeight="1" x14ac:dyDescent="0.25">
      <c r="A30" s="1066" t="s">
        <v>947</v>
      </c>
      <c r="B30" s="1066"/>
      <c r="C30" s="1066"/>
      <c r="D30" s="1066"/>
      <c r="E30" s="1066"/>
      <c r="F30" s="1066"/>
      <c r="G30" s="1066"/>
      <c r="H30" s="1066"/>
      <c r="I30" s="1066"/>
      <c r="J30" s="1066"/>
      <c r="K30" s="1066"/>
      <c r="L30" s="1066"/>
      <c r="M30" s="1066"/>
      <c r="N30" s="1066"/>
      <c r="O30" s="1066"/>
      <c r="P30" s="1066"/>
      <c r="Q30" s="1066"/>
      <c r="R30" s="1066"/>
      <c r="S30" s="1066"/>
      <c r="T30" s="1066"/>
      <c r="U30" s="1066"/>
      <c r="V30" s="1066"/>
      <c r="W30" s="1066"/>
      <c r="X30" s="1066"/>
      <c r="Y30" s="1066"/>
      <c r="Z30" s="739"/>
      <c r="AA30" s="739"/>
      <c r="AB30" s="739"/>
      <c r="AC30" s="739"/>
      <c r="AD30" s="739"/>
    </row>
    <row r="31" spans="1:30" s="336" customFormat="1" ht="15" customHeight="1" x14ac:dyDescent="0.25">
      <c r="A31" s="1066" t="s">
        <v>948</v>
      </c>
      <c r="B31" s="1066"/>
      <c r="C31" s="1066"/>
      <c r="D31" s="1066"/>
      <c r="E31" s="1066"/>
      <c r="F31" s="1066"/>
      <c r="G31" s="1066"/>
      <c r="H31" s="1066"/>
      <c r="I31" s="1066"/>
      <c r="J31" s="1066"/>
      <c r="K31" s="1066"/>
      <c r="L31" s="1066"/>
      <c r="M31" s="1066"/>
      <c r="N31" s="1066"/>
      <c r="O31" s="1066"/>
      <c r="P31" s="1066"/>
      <c r="Q31" s="1066"/>
      <c r="R31" s="1066"/>
      <c r="S31" s="1066"/>
      <c r="T31" s="1066"/>
      <c r="U31" s="1066"/>
      <c r="V31" s="1066"/>
      <c r="W31" s="1066"/>
      <c r="X31" s="1066"/>
      <c r="Y31" s="1066"/>
      <c r="Z31" s="739"/>
      <c r="AA31" s="739"/>
      <c r="AB31" s="739"/>
      <c r="AC31" s="739"/>
      <c r="AD31" s="739"/>
    </row>
    <row r="32" spans="1:30" s="194" customFormat="1" ht="14.25" customHeight="1" x14ac:dyDescent="0.25">
      <c r="A32" s="1278" t="s">
        <v>949</v>
      </c>
      <c r="B32" s="1278"/>
      <c r="C32" s="1278"/>
      <c r="D32" s="1278"/>
      <c r="E32" s="1278"/>
      <c r="F32" s="1278"/>
      <c r="G32" s="1278"/>
      <c r="H32" s="1278"/>
      <c r="I32" s="1278"/>
      <c r="J32" s="1278"/>
      <c r="K32" s="1278"/>
      <c r="L32" s="1278"/>
      <c r="M32" s="1278"/>
      <c r="N32" s="1278"/>
      <c r="O32" s="1278"/>
      <c r="P32" s="1278"/>
      <c r="Q32" s="1278"/>
      <c r="R32" s="1278"/>
      <c r="S32" s="1278"/>
      <c r="T32" s="1278"/>
      <c r="U32" s="1278"/>
      <c r="V32" s="1278"/>
      <c r="W32" s="1278"/>
      <c r="X32" s="1278"/>
      <c r="Y32" s="1278"/>
      <c r="Z32" s="738"/>
      <c r="AA32" s="738"/>
      <c r="AB32" s="723"/>
      <c r="AC32" s="723"/>
      <c r="AD32" s="723"/>
    </row>
    <row r="33" spans="1:30" s="194" customFormat="1" ht="14.25" customHeight="1" x14ac:dyDescent="0.25">
      <c r="A33" s="1278" t="s">
        <v>950</v>
      </c>
      <c r="B33" s="1278"/>
      <c r="C33" s="1278"/>
      <c r="D33" s="1278"/>
      <c r="E33" s="1278"/>
      <c r="F33" s="1278"/>
      <c r="G33" s="1278"/>
      <c r="H33" s="1278"/>
      <c r="I33" s="1278"/>
      <c r="J33" s="1278"/>
      <c r="K33" s="1278"/>
      <c r="L33" s="1278"/>
      <c r="M33" s="1278"/>
      <c r="N33" s="1278"/>
      <c r="O33" s="1278"/>
      <c r="P33" s="1278"/>
      <c r="Q33" s="1278"/>
      <c r="R33" s="1278"/>
      <c r="S33" s="1278"/>
      <c r="T33" s="1278"/>
      <c r="U33" s="1278"/>
      <c r="V33" s="1278"/>
      <c r="W33" s="1278"/>
      <c r="X33" s="1278"/>
      <c r="Y33" s="1278"/>
      <c r="Z33" s="738"/>
      <c r="AA33" s="738"/>
      <c r="AB33" s="723"/>
      <c r="AC33" s="723"/>
      <c r="AD33" s="723"/>
    </row>
    <row r="34" spans="1:30" s="194" customFormat="1" ht="14.25" customHeight="1" x14ac:dyDescent="0.25">
      <c r="A34" s="1278" t="s">
        <v>951</v>
      </c>
      <c r="B34" s="1278"/>
      <c r="C34" s="1278"/>
      <c r="D34" s="1278"/>
      <c r="E34" s="1278"/>
      <c r="F34" s="1278"/>
      <c r="G34" s="1278"/>
      <c r="H34" s="1278"/>
      <c r="I34" s="1278"/>
      <c r="J34" s="1278"/>
      <c r="K34" s="1278"/>
      <c r="L34" s="1278"/>
      <c r="M34" s="1278"/>
      <c r="N34" s="1278"/>
      <c r="O34" s="1278"/>
      <c r="P34" s="1278"/>
      <c r="Q34" s="1278"/>
      <c r="R34" s="1278"/>
      <c r="S34" s="1278"/>
      <c r="T34" s="1278"/>
      <c r="U34" s="1278"/>
      <c r="V34" s="1278"/>
      <c r="W34" s="1278"/>
      <c r="X34" s="1278"/>
      <c r="Y34" s="1278"/>
      <c r="Z34" s="738"/>
      <c r="AA34" s="738"/>
      <c r="AB34" s="723"/>
      <c r="AC34" s="723"/>
      <c r="AD34" s="723"/>
    </row>
    <row r="35" spans="1:30" s="194" customFormat="1" ht="14.25" customHeight="1" x14ac:dyDescent="0.25">
      <c r="A35" s="185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738"/>
      <c r="AA35" s="738"/>
      <c r="AB35" s="723"/>
      <c r="AC35" s="723"/>
      <c r="AD35" s="723"/>
    </row>
    <row r="36" spans="1:30" s="193" customFormat="1" ht="18.75" customHeight="1" x14ac:dyDescent="0.25">
      <c r="A36" s="1043" t="s">
        <v>990</v>
      </c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3"/>
      <c r="M36" s="1043"/>
      <c r="N36" s="1043"/>
      <c r="O36" s="1043"/>
      <c r="P36" s="1043"/>
      <c r="Q36" s="1043"/>
      <c r="R36" s="1043"/>
      <c r="S36" s="1043"/>
      <c r="T36" s="1043"/>
      <c r="U36" s="1043"/>
      <c r="Z36" s="723"/>
      <c r="AA36" s="723"/>
      <c r="AB36" s="723"/>
      <c r="AC36" s="723"/>
      <c r="AD36" s="723"/>
    </row>
    <row r="37" spans="1:30" s="193" customFormat="1" ht="9.75" customHeight="1" x14ac:dyDescent="0.2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3"/>
      <c r="Q37" s="183"/>
      <c r="R37" s="183"/>
      <c r="S37" s="183"/>
      <c r="T37" s="183"/>
      <c r="U37" s="183"/>
      <c r="Z37" s="723"/>
      <c r="AA37" s="723"/>
      <c r="AB37" s="723"/>
      <c r="AC37" s="723"/>
      <c r="AD37" s="723"/>
    </row>
    <row r="38" spans="1:30" ht="22.5" customHeight="1" x14ac:dyDescent="0.3">
      <c r="A38" s="1422" t="s">
        <v>1013</v>
      </c>
      <c r="B38" s="1422"/>
      <c r="C38" s="1422"/>
      <c r="D38" s="1422"/>
      <c r="E38" s="1422"/>
      <c r="F38" s="1422"/>
      <c r="G38" s="1422"/>
      <c r="H38" s="1422"/>
      <c r="I38" s="1422"/>
      <c r="J38" s="1422"/>
      <c r="K38" s="1422"/>
      <c r="L38" s="1422"/>
      <c r="M38" s="1422"/>
      <c r="N38" s="1422"/>
      <c r="O38" s="1422"/>
      <c r="P38" s="1422"/>
      <c r="Q38" s="1422"/>
      <c r="R38" s="1422"/>
      <c r="S38" s="1422"/>
      <c r="T38" s="1422"/>
      <c r="U38" s="1422"/>
      <c r="V38" s="1422"/>
      <c r="W38" s="1422"/>
      <c r="X38" s="1422"/>
      <c r="Y38" s="1422"/>
      <c r="Z38" s="507"/>
      <c r="AA38" s="507"/>
    </row>
    <row r="39" spans="1:30" ht="22.5" customHeight="1" x14ac:dyDescent="0.25">
      <c r="A39" s="1287" t="s">
        <v>372</v>
      </c>
      <c r="B39" s="1429" t="s">
        <v>373</v>
      </c>
      <c r="C39" s="1429" t="s">
        <v>952</v>
      </c>
      <c r="D39" s="338" t="s">
        <v>375</v>
      </c>
      <c r="E39" s="338" t="s">
        <v>376</v>
      </c>
      <c r="F39" s="508" t="s">
        <v>377</v>
      </c>
      <c r="G39" s="508" t="s">
        <v>378</v>
      </c>
      <c r="H39" s="338" t="s">
        <v>379</v>
      </c>
      <c r="I39" s="338" t="s">
        <v>380</v>
      </c>
      <c r="J39" s="338" t="s">
        <v>381</v>
      </c>
      <c r="K39" s="338" t="s">
        <v>382</v>
      </c>
      <c r="L39" s="338" t="s">
        <v>383</v>
      </c>
      <c r="M39" s="508" t="s">
        <v>384</v>
      </c>
      <c r="N39" s="485" t="s">
        <v>385</v>
      </c>
      <c r="O39" s="485" t="s">
        <v>1412</v>
      </c>
      <c r="P39" s="508" t="s">
        <v>387</v>
      </c>
      <c r="Q39" s="338" t="s">
        <v>388</v>
      </c>
      <c r="R39" s="338" t="s">
        <v>389</v>
      </c>
      <c r="S39" s="338" t="s">
        <v>390</v>
      </c>
      <c r="T39" s="338" t="s">
        <v>391</v>
      </c>
      <c r="U39" s="1287" t="s">
        <v>392</v>
      </c>
      <c r="V39" s="1430" t="s">
        <v>21</v>
      </c>
      <c r="W39" s="509" t="s">
        <v>169</v>
      </c>
      <c r="X39" s="1423" t="s">
        <v>393</v>
      </c>
      <c r="Y39" s="1424"/>
      <c r="Z39" s="287"/>
      <c r="AA39" s="287"/>
    </row>
    <row r="40" spans="1:30" ht="17.25" customHeight="1" x14ac:dyDescent="0.25">
      <c r="A40" s="1428"/>
      <c r="B40" s="1429"/>
      <c r="C40" s="1429"/>
      <c r="D40" s="511"/>
      <c r="E40" s="339"/>
      <c r="F40" s="512"/>
      <c r="G40" s="512"/>
      <c r="H40" s="339"/>
      <c r="I40" s="339"/>
      <c r="J40" s="339"/>
      <c r="K40" s="339"/>
      <c r="L40" s="339"/>
      <c r="M40" s="512"/>
      <c r="N40" s="513" t="s">
        <v>394</v>
      </c>
      <c r="O40" s="513" t="s">
        <v>19</v>
      </c>
      <c r="P40" s="512"/>
      <c r="Q40" s="339"/>
      <c r="R40" s="339" t="s">
        <v>395</v>
      </c>
      <c r="S40" s="339"/>
      <c r="T40" s="339"/>
      <c r="U40" s="1428"/>
      <c r="V40" s="1431"/>
      <c r="W40" s="339"/>
      <c r="X40" s="510" t="s">
        <v>18</v>
      </c>
      <c r="Y40" s="175" t="s">
        <v>19</v>
      </c>
      <c r="Z40" s="287"/>
      <c r="AA40" s="287"/>
    </row>
    <row r="41" spans="1:30" ht="14.25" customHeight="1" x14ac:dyDescent="0.25">
      <c r="A41" s="482">
        <v>1</v>
      </c>
      <c r="B41" s="514">
        <v>2</v>
      </c>
      <c r="C41" s="514">
        <v>3</v>
      </c>
      <c r="D41" s="482">
        <v>4</v>
      </c>
      <c r="E41" s="482">
        <v>5</v>
      </c>
      <c r="F41" s="505">
        <v>6</v>
      </c>
      <c r="G41" s="505">
        <v>7</v>
      </c>
      <c r="H41" s="482">
        <v>8</v>
      </c>
      <c r="I41" s="482">
        <v>9</v>
      </c>
      <c r="J41" s="482">
        <v>10</v>
      </c>
      <c r="K41" s="482">
        <v>11</v>
      </c>
      <c r="L41" s="482">
        <v>12</v>
      </c>
      <c r="M41" s="505">
        <v>13</v>
      </c>
      <c r="N41" s="505">
        <v>14</v>
      </c>
      <c r="O41" s="505">
        <v>15</v>
      </c>
      <c r="P41" s="505">
        <v>16</v>
      </c>
      <c r="Q41" s="482">
        <v>17</v>
      </c>
      <c r="R41" s="482">
        <v>18</v>
      </c>
      <c r="S41" s="482">
        <v>19</v>
      </c>
      <c r="T41" s="482">
        <v>20</v>
      </c>
      <c r="U41" s="482">
        <v>21</v>
      </c>
      <c r="V41" s="482">
        <v>22</v>
      </c>
      <c r="W41" s="482">
        <v>23</v>
      </c>
      <c r="X41" s="482">
        <v>24</v>
      </c>
      <c r="Y41" s="482">
        <v>25</v>
      </c>
      <c r="Z41" s="369"/>
      <c r="AA41" s="369"/>
    </row>
    <row r="42" spans="1:30" x14ac:dyDescent="0.25">
      <c r="A42" s="1425" t="s">
        <v>986</v>
      </c>
      <c r="B42" s="1426"/>
      <c r="C42" s="1426"/>
      <c r="D42" s="1426"/>
      <c r="E42" s="1426"/>
      <c r="F42" s="1426"/>
      <c r="G42" s="1426"/>
      <c r="H42" s="1426"/>
      <c r="I42" s="1426"/>
      <c r="J42" s="1426"/>
      <c r="K42" s="1426"/>
      <c r="L42" s="1426"/>
      <c r="M42" s="1426"/>
      <c r="N42" s="1426"/>
      <c r="O42" s="1426"/>
      <c r="P42" s="1426"/>
      <c r="Q42" s="1426"/>
      <c r="R42" s="1426"/>
      <c r="S42" s="1426"/>
      <c r="T42" s="1426"/>
      <c r="U42" s="1426"/>
      <c r="V42" s="1426"/>
      <c r="W42" s="1426"/>
      <c r="X42" s="1426"/>
      <c r="Y42" s="1427"/>
      <c r="Z42" s="743"/>
      <c r="AA42" s="743"/>
    </row>
    <row r="43" spans="1:30" x14ac:dyDescent="0.25">
      <c r="A43" s="1281" t="s">
        <v>1244</v>
      </c>
      <c r="B43" s="1282"/>
      <c r="C43" s="1282"/>
      <c r="D43" s="1282"/>
      <c r="E43" s="1282"/>
      <c r="F43" s="1282"/>
      <c r="G43" s="1282"/>
      <c r="H43" s="1282"/>
      <c r="I43" s="1282"/>
      <c r="J43" s="1282"/>
      <c r="K43" s="1282"/>
      <c r="L43" s="1282"/>
      <c r="M43" s="1282"/>
      <c r="N43" s="1282"/>
      <c r="O43" s="1282"/>
      <c r="P43" s="1282"/>
      <c r="Q43" s="1282"/>
      <c r="R43" s="1282"/>
      <c r="S43" s="1282"/>
      <c r="T43" s="1282"/>
      <c r="U43" s="1282"/>
      <c r="V43" s="1282"/>
      <c r="W43" s="1282"/>
      <c r="X43" s="1282"/>
      <c r="Y43" s="1283"/>
      <c r="Z43" s="744"/>
      <c r="AA43" s="744"/>
    </row>
    <row r="44" spans="1:30" s="124" customFormat="1" ht="37.5" customHeight="1" x14ac:dyDescent="0.25">
      <c r="A44" s="407">
        <v>7052</v>
      </c>
      <c r="B44" s="175" t="s">
        <v>1415</v>
      </c>
      <c r="C44" s="407" t="s">
        <v>988</v>
      </c>
      <c r="D44" s="173" t="s">
        <v>165</v>
      </c>
      <c r="E44" s="173" t="s">
        <v>165</v>
      </c>
      <c r="F44" s="174">
        <v>1.4</v>
      </c>
      <c r="G44" s="173">
        <v>1</v>
      </c>
      <c r="H44" s="173">
        <v>0.01</v>
      </c>
      <c r="I44" s="173">
        <v>1.3</v>
      </c>
      <c r="J44" s="173">
        <v>0.5</v>
      </c>
      <c r="K44" s="173" t="s">
        <v>165</v>
      </c>
      <c r="L44" s="173" t="s">
        <v>165</v>
      </c>
      <c r="M44" s="173" t="s">
        <v>165</v>
      </c>
      <c r="N44" s="173" t="s">
        <v>165</v>
      </c>
      <c r="O44" s="173" t="s">
        <v>165</v>
      </c>
      <c r="P44" s="173">
        <v>2E-3</v>
      </c>
      <c r="Q44" s="173">
        <v>15240</v>
      </c>
      <c r="R44" s="173">
        <v>24</v>
      </c>
      <c r="S44" s="173">
        <v>144</v>
      </c>
      <c r="T44" s="173">
        <v>129</v>
      </c>
      <c r="U44" s="407" t="s">
        <v>989</v>
      </c>
      <c r="V44" s="407">
        <v>2908</v>
      </c>
      <c r="W44" s="173">
        <v>0.85</v>
      </c>
      <c r="X44" s="173">
        <f>ROUND((F44*G44*H44*I44*J44*P44*Q44)*(1-W44),4)</f>
        <v>4.1599999999999998E-2</v>
      </c>
      <c r="Y44" s="173">
        <f>ROUND((((X44*R44*(365-T44-S44)*3600)/1000000)),4)</f>
        <v>0.33069999999999999</v>
      </c>
      <c r="Z44" s="287"/>
      <c r="AA44" s="287"/>
      <c r="AB44" s="724"/>
      <c r="AC44" s="724"/>
      <c r="AD44" s="724"/>
    </row>
    <row r="45" spans="1:30" s="124" customFormat="1" ht="33.75" customHeight="1" x14ac:dyDescent="0.25">
      <c r="A45" s="1420" t="s">
        <v>1524</v>
      </c>
      <c r="B45" s="1280"/>
      <c r="C45" s="1280"/>
      <c r="D45" s="1280"/>
      <c r="E45" s="1280"/>
      <c r="F45" s="1280"/>
      <c r="G45" s="1280"/>
      <c r="H45" s="1280"/>
      <c r="I45" s="1280"/>
      <c r="J45" s="1280"/>
      <c r="K45" s="1280"/>
      <c r="L45" s="1280"/>
      <c r="M45" s="1280"/>
      <c r="N45" s="1280"/>
      <c r="O45" s="1280"/>
      <c r="P45" s="1280"/>
      <c r="Q45" s="1280"/>
      <c r="R45" s="1280"/>
      <c r="S45" s="1280"/>
      <c r="T45" s="1280"/>
      <c r="U45" s="515" t="s">
        <v>989</v>
      </c>
      <c r="V45" s="515">
        <v>2908</v>
      </c>
      <c r="W45" s="176"/>
      <c r="X45" s="176">
        <f>X44</f>
        <v>4.1599999999999998E-2</v>
      </c>
      <c r="Y45" s="176">
        <f>SUM(Y44:Y44)</f>
        <v>0.33069999999999999</v>
      </c>
      <c r="Z45" s="745">
        <f>X45</f>
        <v>4.1599999999999998E-2</v>
      </c>
      <c r="AA45" s="745">
        <f>Y45</f>
        <v>0.33069999999999999</v>
      </c>
      <c r="AB45" s="724"/>
      <c r="AC45" s="724"/>
      <c r="AD45" s="724"/>
    </row>
  </sheetData>
  <mergeCells count="40">
    <mergeCell ref="X39:Y39"/>
    <mergeCell ref="A42:Y42"/>
    <mergeCell ref="A39:A40"/>
    <mergeCell ref="B39:B40"/>
    <mergeCell ref="C39:C40"/>
    <mergeCell ref="U39:U40"/>
    <mergeCell ref="V39:V40"/>
    <mergeCell ref="A32:Y32"/>
    <mergeCell ref="A33:Y33"/>
    <mergeCell ref="A34:Y34"/>
    <mergeCell ref="A36:U36"/>
    <mergeCell ref="A38:Y38"/>
    <mergeCell ref="A31:Y31"/>
    <mergeCell ref="A20:Y20"/>
    <mergeCell ref="A21:Y21"/>
    <mergeCell ref="A22:Y22"/>
    <mergeCell ref="A23:Y23"/>
    <mergeCell ref="A24:Y24"/>
    <mergeCell ref="A25:Y25"/>
    <mergeCell ref="A26:Y26"/>
    <mergeCell ref="A27:Y27"/>
    <mergeCell ref="A28:Y28"/>
    <mergeCell ref="A29:Y29"/>
    <mergeCell ref="A30:Y30"/>
    <mergeCell ref="A45:T45"/>
    <mergeCell ref="A43:Y43"/>
    <mergeCell ref="A19:Y19"/>
    <mergeCell ref="A1:Y1"/>
    <mergeCell ref="A3:O3"/>
    <mergeCell ref="A4:Y4"/>
    <mergeCell ref="A6:V6"/>
    <mergeCell ref="B7:U7"/>
    <mergeCell ref="A9:Y9"/>
    <mergeCell ref="A10:Y10"/>
    <mergeCell ref="A12:Y12"/>
    <mergeCell ref="A13:Y13"/>
    <mergeCell ref="A15:O15"/>
    <mergeCell ref="A16:V16"/>
    <mergeCell ref="A17:V17"/>
    <mergeCell ref="A18:Y18"/>
  </mergeCells>
  <pageMargins left="0.31496062992125984" right="0.31496062992125984" top="0.78740157480314965" bottom="0.59055118110236227" header="0.31496062992125984" footer="0.31496062992125984"/>
  <pageSetup paperSize="9" scale="99" firstPageNumber="91" orientation="landscape" useFirstPageNumber="1" r:id="rId1"/>
  <headerFooter>
    <oddFooter>&amp;R&amp;P</oddFooter>
  </headerFooter>
  <rowBreaks count="1" manualBreakCount="1">
    <brk id="24" max="2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K751"/>
  <sheetViews>
    <sheetView view="pageBreakPreview" topLeftCell="A691" zoomScaleNormal="100" zoomScaleSheetLayoutView="100" workbookViewId="0">
      <selection activeCell="A726" sqref="A726:R731"/>
    </sheetView>
  </sheetViews>
  <sheetFormatPr defaultRowHeight="15" x14ac:dyDescent="0.25"/>
  <cols>
    <col min="1" max="1" width="8.7109375" style="253" customWidth="1"/>
    <col min="2" max="2" width="15.5703125" customWidth="1"/>
    <col min="3" max="3" width="4.85546875" customWidth="1"/>
    <col min="4" max="4" width="4.28515625" customWidth="1"/>
    <col min="5" max="5" width="4.42578125" customWidth="1"/>
    <col min="6" max="6" width="5" customWidth="1"/>
    <col min="7" max="7" width="4.85546875" customWidth="1"/>
    <col min="8" max="8" width="4.28515625" customWidth="1"/>
    <col min="9" max="9" width="4.42578125" customWidth="1"/>
    <col min="10" max="10" width="4.85546875" customWidth="1"/>
    <col min="11" max="11" width="5.140625" customWidth="1"/>
    <col min="12" max="12" width="5.7109375" customWidth="1"/>
    <col min="13" max="13" width="4.7109375" customWidth="1"/>
    <col min="14" max="14" width="3.5703125" customWidth="1"/>
    <col min="15" max="15" width="4.42578125" customWidth="1"/>
    <col min="16" max="17" width="3.85546875" customWidth="1"/>
    <col min="18" max="18" width="5.42578125" customWidth="1"/>
    <col min="19" max="27" width="0" hidden="1" customWidth="1"/>
    <col min="28" max="28" width="13.5703125" style="253" customWidth="1"/>
    <col min="29" max="29" width="6.28515625" style="253" customWidth="1"/>
    <col min="30" max="31" width="9.140625" style="253"/>
    <col min="32" max="32" width="10.7109375" style="724" customWidth="1"/>
    <col min="33" max="33" width="14.140625" style="724" customWidth="1"/>
    <col min="34" max="35" width="9.140625" style="724"/>
  </cols>
  <sheetData>
    <row r="1" spans="1:35" s="249" customFormat="1" ht="18.75" x14ac:dyDescent="0.3">
      <c r="A1" s="974" t="s">
        <v>1518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974"/>
      <c r="Q1" s="974"/>
      <c r="R1" s="974"/>
      <c r="S1" s="974"/>
      <c r="T1" s="974"/>
      <c r="U1" s="974"/>
      <c r="V1" s="974"/>
      <c r="W1" s="974"/>
      <c r="X1" s="974"/>
      <c r="Y1" s="974"/>
      <c r="Z1" s="974"/>
      <c r="AA1" s="974"/>
      <c r="AB1" s="974"/>
      <c r="AC1" s="974"/>
      <c r="AD1" s="974"/>
      <c r="AE1" s="974"/>
      <c r="AF1" s="61"/>
      <c r="AG1" s="61"/>
      <c r="AH1" s="61"/>
      <c r="AI1" s="61"/>
    </row>
    <row r="2" spans="1:35" s="249" customFormat="1" ht="9.75" customHeight="1" x14ac:dyDescent="0.25">
      <c r="AB2" s="270"/>
      <c r="AC2" s="270"/>
      <c r="AD2" s="270"/>
      <c r="AE2" s="270"/>
      <c r="AF2" s="61"/>
      <c r="AG2" s="61"/>
      <c r="AH2" s="61"/>
      <c r="AI2" s="61"/>
    </row>
    <row r="3" spans="1:35" s="249" customFormat="1" ht="18" customHeight="1" x14ac:dyDescent="0.25">
      <c r="A3" s="1038" t="s">
        <v>1029</v>
      </c>
      <c r="B3" s="1434"/>
      <c r="C3" s="1434"/>
      <c r="D3" s="1434"/>
      <c r="E3" s="1434"/>
      <c r="F3" s="1434"/>
      <c r="G3" s="1434"/>
      <c r="H3" s="1434"/>
      <c r="I3" s="1434"/>
      <c r="J3" s="1434"/>
      <c r="K3" s="1434"/>
      <c r="L3" s="1434"/>
      <c r="M3" s="1434"/>
      <c r="N3" s="1434"/>
      <c r="O3" s="1434"/>
      <c r="P3" s="1434"/>
      <c r="Q3" s="1434"/>
      <c r="R3" s="1434"/>
      <c r="S3" s="1434"/>
      <c r="T3" s="1434"/>
      <c r="U3" s="1434"/>
      <c r="V3" s="1434"/>
      <c r="W3" s="1434"/>
      <c r="X3" s="1434"/>
      <c r="Y3" s="1434"/>
      <c r="Z3" s="1434"/>
      <c r="AA3" s="1434"/>
      <c r="AB3" s="1434"/>
      <c r="AC3" s="1434"/>
      <c r="AD3" s="1434"/>
      <c r="AE3" s="1434"/>
      <c r="AF3" s="61"/>
      <c r="AG3" s="61"/>
      <c r="AH3" s="61"/>
      <c r="AI3" s="61"/>
    </row>
    <row r="4" spans="1:35" s="249" customFormat="1" ht="39" customHeight="1" x14ac:dyDescent="0.25">
      <c r="A4" s="1038" t="s">
        <v>1030</v>
      </c>
      <c r="B4" s="1434"/>
      <c r="C4" s="1434"/>
      <c r="D4" s="1434"/>
      <c r="E4" s="1434"/>
      <c r="F4" s="1434"/>
      <c r="G4" s="1434"/>
      <c r="H4" s="1434"/>
      <c r="I4" s="1434"/>
      <c r="J4" s="1434"/>
      <c r="K4" s="1434"/>
      <c r="L4" s="1434"/>
      <c r="M4" s="1434"/>
      <c r="N4" s="1434"/>
      <c r="O4" s="1434"/>
      <c r="P4" s="1434"/>
      <c r="Q4" s="1434"/>
      <c r="R4" s="1434"/>
      <c r="S4" s="1434"/>
      <c r="T4" s="1434"/>
      <c r="U4" s="1434"/>
      <c r="V4" s="1434"/>
      <c r="W4" s="1434"/>
      <c r="X4" s="1434"/>
      <c r="Y4" s="1434"/>
      <c r="Z4" s="1434"/>
      <c r="AA4" s="1434"/>
      <c r="AB4" s="1434"/>
      <c r="AC4" s="1434"/>
      <c r="AD4" s="1434"/>
      <c r="AE4" s="1434"/>
      <c r="AF4" s="61"/>
      <c r="AG4" s="61"/>
      <c r="AH4" s="61"/>
      <c r="AI4" s="61"/>
    </row>
    <row r="5" spans="1:35" s="249" customFormat="1" ht="7.5" customHeight="1" x14ac:dyDescent="0.25">
      <c r="AB5" s="270"/>
      <c r="AC5" s="270"/>
      <c r="AD5" s="270"/>
      <c r="AE5" s="270"/>
      <c r="AF5" s="61"/>
      <c r="AG5" s="61"/>
      <c r="AH5" s="61"/>
      <c r="AI5" s="61"/>
    </row>
    <row r="6" spans="1:35" s="249" customFormat="1" ht="38.25" customHeight="1" x14ac:dyDescent="0.25">
      <c r="A6" s="1043" t="s">
        <v>1031</v>
      </c>
      <c r="B6" s="1043"/>
      <c r="C6" s="1043"/>
      <c r="D6" s="1043"/>
      <c r="E6" s="1043"/>
      <c r="F6" s="1043"/>
      <c r="G6" s="1043"/>
      <c r="H6" s="1043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43"/>
      <c r="T6" s="1043"/>
      <c r="U6" s="1043"/>
      <c r="V6" s="1043"/>
      <c r="W6" s="1043"/>
      <c r="X6" s="1043"/>
      <c r="Y6" s="1043"/>
      <c r="Z6" s="1043"/>
      <c r="AA6" s="1043"/>
      <c r="AB6" s="1043"/>
      <c r="AC6" s="1043"/>
      <c r="AD6" s="1043"/>
      <c r="AE6" s="1043"/>
      <c r="AF6" s="61"/>
      <c r="AG6" s="61"/>
      <c r="AH6" s="61"/>
      <c r="AI6" s="61"/>
    </row>
    <row r="7" spans="1:35" s="249" customFormat="1" ht="18.75" x14ac:dyDescent="0.25">
      <c r="A7" s="1435" t="s">
        <v>1032</v>
      </c>
      <c r="B7" s="1435"/>
      <c r="C7" s="1435"/>
      <c r="D7" s="1435"/>
      <c r="E7" s="1435"/>
      <c r="F7" s="1435"/>
      <c r="G7" s="1435"/>
      <c r="H7" s="1435"/>
      <c r="I7" s="1435"/>
      <c r="J7" s="1435"/>
      <c r="K7" s="1435"/>
      <c r="L7" s="1435"/>
      <c r="M7" s="1435"/>
      <c r="N7" s="1435"/>
      <c r="O7" s="1435"/>
      <c r="P7" s="1435"/>
      <c r="Q7" s="1435"/>
      <c r="R7" s="1435"/>
      <c r="S7" s="1435"/>
      <c r="T7" s="1435"/>
      <c r="U7" s="1435"/>
      <c r="V7" s="1435"/>
      <c r="W7" s="1435"/>
      <c r="X7" s="1435"/>
      <c r="Y7" s="1435"/>
      <c r="Z7" s="1435"/>
      <c r="AA7" s="1435"/>
      <c r="AB7" s="1435"/>
      <c r="AC7" s="1435"/>
      <c r="AD7" s="1435"/>
      <c r="AE7" s="1435"/>
      <c r="AF7" s="61"/>
      <c r="AG7" s="61"/>
      <c r="AH7" s="61"/>
      <c r="AI7" s="61"/>
    </row>
    <row r="8" spans="1:35" s="249" customFormat="1" ht="15" customHeight="1" x14ac:dyDescent="0.25">
      <c r="A8" s="249" t="s">
        <v>801</v>
      </c>
      <c r="AB8" s="270"/>
      <c r="AC8" s="270"/>
      <c r="AD8" s="270"/>
      <c r="AE8" s="270"/>
      <c r="AF8" s="61"/>
      <c r="AG8" s="61"/>
      <c r="AH8" s="61"/>
      <c r="AI8" s="61"/>
    </row>
    <row r="9" spans="1:35" s="249" customFormat="1" ht="15" customHeight="1" x14ac:dyDescent="0.25">
      <c r="A9" s="1288" t="s">
        <v>1503</v>
      </c>
      <c r="B9" s="1288"/>
      <c r="C9" s="1288"/>
      <c r="D9" s="1288"/>
      <c r="E9" s="1288"/>
      <c r="F9" s="1288"/>
      <c r="G9" s="1288"/>
      <c r="H9" s="1288"/>
      <c r="I9" s="1288"/>
      <c r="J9" s="1288"/>
      <c r="K9" s="1288"/>
      <c r="L9" s="1288"/>
      <c r="M9" s="1288"/>
      <c r="N9" s="1288"/>
      <c r="O9" s="1288"/>
      <c r="P9" s="1288"/>
      <c r="Q9" s="1288"/>
      <c r="R9" s="1288"/>
      <c r="S9" s="1288"/>
      <c r="T9" s="1288"/>
      <c r="U9" s="1288"/>
      <c r="V9" s="1288"/>
      <c r="W9" s="1288"/>
      <c r="X9" s="1288"/>
      <c r="Y9" s="1288"/>
      <c r="Z9" s="1288"/>
      <c r="AA9" s="1288"/>
      <c r="AB9" s="1288"/>
      <c r="AC9" s="1288"/>
      <c r="AD9" s="1288"/>
      <c r="AE9" s="1288"/>
      <c r="AF9" s="61"/>
      <c r="AG9" s="61"/>
      <c r="AH9" s="61"/>
      <c r="AI9" s="61"/>
    </row>
    <row r="10" spans="1:35" s="249" customFormat="1" ht="15" customHeight="1" x14ac:dyDescent="0.25">
      <c r="A10" s="1288" t="s">
        <v>1504</v>
      </c>
      <c r="B10" s="1288"/>
      <c r="C10" s="1288"/>
      <c r="D10" s="1288"/>
      <c r="E10" s="1288"/>
      <c r="F10" s="1288"/>
      <c r="G10" s="1288"/>
      <c r="H10" s="1288"/>
      <c r="I10" s="1288"/>
      <c r="J10" s="1288"/>
      <c r="K10" s="1288"/>
      <c r="L10" s="1288"/>
      <c r="M10" s="1288"/>
      <c r="N10" s="1288"/>
      <c r="O10" s="1288"/>
      <c r="P10" s="1288"/>
      <c r="Q10" s="1288"/>
      <c r="R10" s="1288"/>
      <c r="S10" s="1288"/>
      <c r="T10" s="1288"/>
      <c r="U10" s="1288"/>
      <c r="V10" s="1288"/>
      <c r="W10" s="1288"/>
      <c r="X10" s="1288"/>
      <c r="Y10" s="1288"/>
      <c r="Z10" s="1288"/>
      <c r="AA10" s="1288"/>
      <c r="AB10" s="1288"/>
      <c r="AC10" s="1288"/>
      <c r="AD10" s="1288"/>
      <c r="AE10" s="1288"/>
      <c r="AF10" s="61"/>
      <c r="AG10" s="61"/>
      <c r="AH10" s="61"/>
      <c r="AI10" s="61"/>
    </row>
    <row r="11" spans="1:35" s="249" customFormat="1" ht="15" customHeight="1" x14ac:dyDescent="0.25">
      <c r="A11" s="1288" t="s">
        <v>1505</v>
      </c>
      <c r="B11" s="1288"/>
      <c r="C11" s="1288"/>
      <c r="D11" s="1288"/>
      <c r="E11" s="1288"/>
      <c r="F11" s="1288"/>
      <c r="G11" s="1288"/>
      <c r="H11" s="1288"/>
      <c r="I11" s="1288"/>
      <c r="J11" s="1288"/>
      <c r="K11" s="1288"/>
      <c r="L11" s="1288"/>
      <c r="M11" s="1288"/>
      <c r="N11" s="1288"/>
      <c r="O11" s="1288"/>
      <c r="P11" s="1288"/>
      <c r="Q11" s="1288"/>
      <c r="R11" s="1288"/>
      <c r="S11" s="1288"/>
      <c r="T11" s="1288"/>
      <c r="U11" s="1288"/>
      <c r="V11" s="1288"/>
      <c r="W11" s="1288"/>
      <c r="X11" s="1288"/>
      <c r="Y11" s="1288"/>
      <c r="Z11" s="1288"/>
      <c r="AA11" s="1288"/>
      <c r="AB11" s="1288"/>
      <c r="AC11" s="1288"/>
      <c r="AD11" s="1288"/>
      <c r="AE11" s="1288"/>
      <c r="AF11" s="61"/>
      <c r="AG11" s="61"/>
      <c r="AH11" s="61"/>
      <c r="AI11" s="61"/>
    </row>
    <row r="12" spans="1:35" s="249" customFormat="1" ht="15" customHeight="1" x14ac:dyDescent="0.25">
      <c r="A12" s="1288" t="s">
        <v>1506</v>
      </c>
      <c r="B12" s="1288"/>
      <c r="C12" s="1288"/>
      <c r="D12" s="1288"/>
      <c r="E12" s="1288"/>
      <c r="F12" s="1288"/>
      <c r="G12" s="1288"/>
      <c r="H12" s="1288"/>
      <c r="I12" s="1288"/>
      <c r="J12" s="1288"/>
      <c r="K12" s="1288"/>
      <c r="L12" s="1288"/>
      <c r="M12" s="1288"/>
      <c r="N12" s="1288"/>
      <c r="O12" s="1288"/>
      <c r="P12" s="1288"/>
      <c r="Q12" s="1288"/>
      <c r="R12" s="1288"/>
      <c r="S12" s="1288"/>
      <c r="T12" s="1288"/>
      <c r="U12" s="1288"/>
      <c r="V12" s="1288"/>
      <c r="W12" s="1288"/>
      <c r="X12" s="1288"/>
      <c r="Y12" s="1288"/>
      <c r="Z12" s="1288"/>
      <c r="AA12" s="1288"/>
      <c r="AB12" s="1288"/>
      <c r="AC12" s="1288"/>
      <c r="AD12" s="1288"/>
      <c r="AE12" s="1288"/>
      <c r="AF12" s="61"/>
      <c r="AG12" s="61"/>
      <c r="AH12" s="61"/>
      <c r="AI12" s="61"/>
    </row>
    <row r="13" spans="1:35" s="249" customFormat="1" ht="15" customHeight="1" x14ac:dyDescent="0.25">
      <c r="A13" s="1288" t="s">
        <v>1507</v>
      </c>
      <c r="B13" s="1288"/>
      <c r="C13" s="1288"/>
      <c r="D13" s="1288"/>
      <c r="E13" s="1288"/>
      <c r="F13" s="1288"/>
      <c r="G13" s="1288"/>
      <c r="H13" s="1288"/>
      <c r="I13" s="1288"/>
      <c r="J13" s="1288"/>
      <c r="K13" s="1288"/>
      <c r="L13" s="1288"/>
      <c r="M13" s="1288"/>
      <c r="N13" s="1288"/>
      <c r="O13" s="1288"/>
      <c r="P13" s="1288"/>
      <c r="Q13" s="1288"/>
      <c r="R13" s="1288"/>
      <c r="S13" s="1288"/>
      <c r="T13" s="1288"/>
      <c r="U13" s="1288"/>
      <c r="V13" s="1288"/>
      <c r="W13" s="1288"/>
      <c r="X13" s="1288"/>
      <c r="Y13" s="1288"/>
      <c r="Z13" s="1288"/>
      <c r="AA13" s="1288"/>
      <c r="AB13" s="1288"/>
      <c r="AC13" s="1288"/>
      <c r="AD13" s="1288"/>
      <c r="AE13" s="1288"/>
      <c r="AF13" s="61"/>
      <c r="AG13" s="61"/>
      <c r="AH13" s="61"/>
      <c r="AI13" s="61"/>
    </row>
    <row r="14" spans="1:35" s="249" customFormat="1" ht="9.75" customHeight="1" x14ac:dyDescent="0.25">
      <c r="AB14" s="270"/>
      <c r="AC14" s="270"/>
      <c r="AD14" s="270"/>
      <c r="AE14" s="270"/>
      <c r="AF14" s="61"/>
      <c r="AG14" s="61"/>
      <c r="AH14" s="61"/>
      <c r="AI14" s="61"/>
    </row>
    <row r="15" spans="1:35" s="192" customFormat="1" ht="18.75" x14ac:dyDescent="0.3">
      <c r="A15" s="1436" t="s">
        <v>1033</v>
      </c>
      <c r="B15" s="1436"/>
      <c r="C15" s="1436"/>
      <c r="D15" s="1436"/>
      <c r="E15" s="1436"/>
      <c r="F15" s="1436"/>
      <c r="G15" s="1436"/>
      <c r="H15" s="1436"/>
      <c r="I15" s="1436"/>
      <c r="J15" s="1436"/>
      <c r="K15" s="1436"/>
      <c r="L15" s="1436"/>
      <c r="M15" s="1436"/>
      <c r="N15" s="1436"/>
      <c r="O15" s="1436"/>
      <c r="P15" s="1436"/>
      <c r="Q15" s="1436"/>
      <c r="R15" s="1436"/>
      <c r="S15" s="1436"/>
      <c r="T15" s="1436"/>
      <c r="U15" s="1436"/>
      <c r="V15" s="1436"/>
      <c r="W15" s="1436"/>
      <c r="X15" s="1436"/>
      <c r="Y15" s="1436"/>
      <c r="Z15" s="1436"/>
      <c r="AA15" s="1436"/>
      <c r="AB15" s="1436"/>
      <c r="AC15" s="1436"/>
      <c r="AD15" s="1436"/>
      <c r="AE15" s="1436"/>
      <c r="AF15" s="61"/>
      <c r="AG15" s="61"/>
      <c r="AH15" s="61"/>
      <c r="AI15" s="61"/>
    </row>
    <row r="16" spans="1:35" s="192" customFormat="1" ht="6.75" customHeight="1" x14ac:dyDescent="0.3">
      <c r="A16" s="747"/>
      <c r="B16" s="747"/>
      <c r="C16" s="747"/>
      <c r="D16" s="747"/>
      <c r="E16" s="747"/>
      <c r="F16" s="747"/>
      <c r="G16" s="747"/>
      <c r="H16" s="747"/>
      <c r="I16" s="747"/>
      <c r="J16" s="747"/>
      <c r="K16" s="747"/>
      <c r="L16" s="747"/>
      <c r="M16" s="747"/>
      <c r="N16" s="747"/>
      <c r="O16" s="747"/>
      <c r="P16" s="747"/>
      <c r="Q16" s="747"/>
      <c r="R16" s="747"/>
      <c r="S16" s="747"/>
      <c r="T16" s="747"/>
      <c r="U16" s="747"/>
      <c r="V16" s="747"/>
      <c r="W16" s="747"/>
      <c r="X16" s="747"/>
      <c r="Y16" s="747"/>
      <c r="Z16" s="747"/>
      <c r="AA16" s="747"/>
      <c r="AB16" s="927"/>
      <c r="AC16" s="927"/>
      <c r="AD16" s="927"/>
      <c r="AE16" s="927"/>
      <c r="AF16" s="61"/>
      <c r="AG16" s="61"/>
      <c r="AH16" s="61"/>
      <c r="AI16" s="61"/>
    </row>
    <row r="17" spans="1:35" s="249" customFormat="1" ht="16.5" customHeight="1" x14ac:dyDescent="0.3">
      <c r="A17" s="974" t="s">
        <v>1034</v>
      </c>
      <c r="B17" s="974"/>
      <c r="C17" s="974"/>
      <c r="D17" s="974"/>
      <c r="E17" s="974"/>
      <c r="F17" s="974"/>
      <c r="G17" s="974"/>
      <c r="H17" s="974"/>
      <c r="I17" s="974"/>
      <c r="J17" s="974"/>
      <c r="K17" s="974"/>
      <c r="L17" s="974"/>
      <c r="M17" s="974"/>
      <c r="N17" s="974"/>
      <c r="O17" s="974"/>
      <c r="P17" s="974"/>
      <c r="Q17" s="974"/>
      <c r="R17" s="974"/>
      <c r="S17" s="974"/>
      <c r="T17" s="974"/>
      <c r="U17" s="974"/>
      <c r="V17" s="974"/>
      <c r="W17" s="974"/>
      <c r="X17" s="974"/>
      <c r="Y17" s="974"/>
      <c r="Z17" s="974"/>
      <c r="AA17" s="974"/>
      <c r="AB17" s="974"/>
      <c r="AC17" s="974"/>
      <c r="AD17" s="974"/>
      <c r="AE17" s="974"/>
      <c r="AF17" s="61"/>
      <c r="AG17" s="61"/>
      <c r="AH17" s="61"/>
      <c r="AI17" s="61"/>
    </row>
    <row r="18" spans="1:35" s="249" customFormat="1" ht="15" customHeight="1" x14ac:dyDescent="0.25">
      <c r="A18" s="249" t="s">
        <v>801</v>
      </c>
      <c r="AB18" s="270"/>
      <c r="AC18" s="270"/>
      <c r="AD18" s="270"/>
      <c r="AE18" s="270"/>
      <c r="AF18" s="61"/>
      <c r="AG18" s="61"/>
      <c r="AH18" s="61"/>
      <c r="AI18" s="61"/>
    </row>
    <row r="19" spans="1:35" s="249" customFormat="1" ht="15" customHeight="1" x14ac:dyDescent="0.25">
      <c r="A19" s="1288" t="s">
        <v>1508</v>
      </c>
      <c r="B19" s="1288"/>
      <c r="C19" s="1288"/>
      <c r="D19" s="1288"/>
      <c r="E19" s="1288"/>
      <c r="F19" s="1288"/>
      <c r="G19" s="1288"/>
      <c r="H19" s="1288"/>
      <c r="I19" s="1288"/>
      <c r="J19" s="1288"/>
      <c r="K19" s="1288"/>
      <c r="L19" s="1288"/>
      <c r="M19" s="1288"/>
      <c r="N19" s="1288"/>
      <c r="O19" s="1288"/>
      <c r="P19" s="1288"/>
      <c r="Q19" s="1288"/>
      <c r="R19" s="1288"/>
      <c r="S19" s="1288"/>
      <c r="T19" s="1288"/>
      <c r="U19" s="1288"/>
      <c r="V19" s="1288"/>
      <c r="W19" s="1288"/>
      <c r="X19" s="1288"/>
      <c r="Y19" s="1288"/>
      <c r="Z19" s="1288"/>
      <c r="AA19" s="1288"/>
      <c r="AB19" s="1288"/>
      <c r="AC19" s="1288"/>
      <c r="AD19" s="1288"/>
      <c r="AE19" s="1288"/>
      <c r="AF19" s="61"/>
      <c r="AG19" s="61"/>
      <c r="AH19" s="61"/>
      <c r="AI19" s="61"/>
    </row>
    <row r="20" spans="1:35" s="249" customFormat="1" ht="15" customHeight="1" x14ac:dyDescent="0.25">
      <c r="A20" s="1288" t="s">
        <v>1509</v>
      </c>
      <c r="B20" s="1288"/>
      <c r="C20" s="1288"/>
      <c r="D20" s="1288"/>
      <c r="E20" s="1288"/>
      <c r="F20" s="1288"/>
      <c r="G20" s="1288"/>
      <c r="H20" s="1288"/>
      <c r="I20" s="1288"/>
      <c r="J20" s="1288"/>
      <c r="K20" s="1288"/>
      <c r="L20" s="1288"/>
      <c r="M20" s="1288"/>
      <c r="N20" s="1288"/>
      <c r="O20" s="1288"/>
      <c r="P20" s="1288"/>
      <c r="Q20" s="1288"/>
      <c r="R20" s="1288"/>
      <c r="S20" s="1288"/>
      <c r="T20" s="1288"/>
      <c r="U20" s="1288"/>
      <c r="V20" s="1288"/>
      <c r="W20" s="1288"/>
      <c r="X20" s="1288"/>
      <c r="Y20" s="1288"/>
      <c r="Z20" s="1288"/>
      <c r="AA20" s="1288"/>
      <c r="AB20" s="1288"/>
      <c r="AC20" s="1288"/>
      <c r="AD20" s="1288"/>
      <c r="AE20" s="1288"/>
      <c r="AF20" s="61"/>
      <c r="AG20" s="61"/>
      <c r="AH20" s="61"/>
      <c r="AI20" s="61"/>
    </row>
    <row r="21" spans="1:35" s="249" customFormat="1" ht="5.25" customHeight="1" x14ac:dyDescent="0.25">
      <c r="AB21" s="270"/>
      <c r="AC21" s="270"/>
      <c r="AD21" s="270"/>
      <c r="AE21" s="270"/>
      <c r="AF21" s="61"/>
      <c r="AG21" s="61"/>
      <c r="AH21" s="61"/>
      <c r="AI21" s="61"/>
    </row>
    <row r="22" spans="1:35" s="192" customFormat="1" ht="33.75" customHeight="1" x14ac:dyDescent="0.3">
      <c r="A22" s="1043" t="s">
        <v>1510</v>
      </c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  <c r="O22" s="1043"/>
      <c r="P22" s="1043"/>
      <c r="Q22" s="1043"/>
      <c r="R22" s="1043"/>
      <c r="S22" s="1043"/>
      <c r="T22" s="1043"/>
      <c r="U22" s="1043"/>
      <c r="V22" s="1043"/>
      <c r="W22" s="1043"/>
      <c r="X22" s="1043"/>
      <c r="Y22" s="1043"/>
      <c r="Z22" s="1043"/>
      <c r="AA22" s="1043"/>
      <c r="AB22" s="1043"/>
      <c r="AC22" s="1043"/>
      <c r="AD22" s="1043"/>
      <c r="AE22" s="1043"/>
      <c r="AF22" s="61"/>
      <c r="AG22" s="61"/>
      <c r="AH22" s="61"/>
      <c r="AI22" s="61"/>
    </row>
    <row r="23" spans="1:35" s="192" customFormat="1" ht="6.75" customHeight="1" x14ac:dyDescent="0.3">
      <c r="A23" s="747"/>
      <c r="B23" s="747"/>
      <c r="C23" s="747"/>
      <c r="D23" s="747"/>
      <c r="E23" s="747"/>
      <c r="F23" s="747"/>
      <c r="G23" s="747"/>
      <c r="H23" s="747"/>
      <c r="I23" s="747"/>
      <c r="J23" s="747"/>
      <c r="K23" s="747"/>
      <c r="L23" s="747"/>
      <c r="M23" s="747"/>
      <c r="N23" s="747"/>
      <c r="O23" s="747"/>
      <c r="P23" s="747"/>
      <c r="Q23" s="747"/>
      <c r="R23" s="747"/>
      <c r="S23" s="747"/>
      <c r="T23" s="747"/>
      <c r="U23" s="747"/>
      <c r="V23" s="747"/>
      <c r="W23" s="747"/>
      <c r="X23" s="747"/>
      <c r="Y23" s="747"/>
      <c r="Z23" s="747"/>
      <c r="AA23" s="747"/>
      <c r="AB23" s="927"/>
      <c r="AC23" s="927"/>
      <c r="AD23" s="927"/>
      <c r="AE23" s="927"/>
      <c r="AF23" s="61"/>
      <c r="AG23" s="61"/>
      <c r="AH23" s="61"/>
      <c r="AI23" s="61"/>
    </row>
    <row r="24" spans="1:35" s="249" customFormat="1" ht="20.25" x14ac:dyDescent="0.35">
      <c r="A24" s="974" t="s">
        <v>1035</v>
      </c>
      <c r="B24" s="974"/>
      <c r="C24" s="974"/>
      <c r="D24" s="974"/>
      <c r="E24" s="974"/>
      <c r="F24" s="974"/>
      <c r="G24" s="974"/>
      <c r="H24" s="974"/>
      <c r="I24" s="974"/>
      <c r="J24" s="974"/>
      <c r="K24" s="974"/>
      <c r="L24" s="974"/>
      <c r="M24" s="974"/>
      <c r="N24" s="974"/>
      <c r="O24" s="974"/>
      <c r="P24" s="974"/>
      <c r="Q24" s="974"/>
      <c r="R24" s="974"/>
      <c r="S24" s="974"/>
      <c r="T24" s="974"/>
      <c r="U24" s="974"/>
      <c r="V24" s="974"/>
      <c r="W24" s="974"/>
      <c r="X24" s="974"/>
      <c r="Y24" s="974"/>
      <c r="Z24" s="974"/>
      <c r="AA24" s="974"/>
      <c r="AB24" s="974"/>
      <c r="AC24" s="974"/>
      <c r="AD24" s="974"/>
      <c r="AE24" s="974"/>
      <c r="AF24" s="61"/>
      <c r="AG24" s="61"/>
      <c r="AH24" s="61"/>
      <c r="AI24" s="61"/>
    </row>
    <row r="25" spans="1:35" s="249" customFormat="1" ht="15" customHeight="1" x14ac:dyDescent="0.25">
      <c r="A25" s="249" t="s">
        <v>801</v>
      </c>
      <c r="AB25" s="270"/>
      <c r="AC25" s="270"/>
      <c r="AD25" s="270"/>
      <c r="AE25" s="270"/>
      <c r="AF25" s="61"/>
      <c r="AG25" s="61"/>
      <c r="AH25" s="61"/>
      <c r="AI25" s="61"/>
    </row>
    <row r="26" spans="1:35" s="249" customFormat="1" ht="15" customHeight="1" x14ac:dyDescent="0.25">
      <c r="A26" s="1288" t="s">
        <v>1511</v>
      </c>
      <c r="B26" s="1288"/>
      <c r="C26" s="1288"/>
      <c r="D26" s="1288"/>
      <c r="E26" s="1288"/>
      <c r="F26" s="1288"/>
      <c r="G26" s="1288"/>
      <c r="H26" s="1288"/>
      <c r="I26" s="1288"/>
      <c r="J26" s="1288"/>
      <c r="K26" s="1288"/>
      <c r="L26" s="1288"/>
      <c r="M26" s="1288"/>
      <c r="N26" s="1288"/>
      <c r="O26" s="1288"/>
      <c r="P26" s="1288"/>
      <c r="Q26" s="1288"/>
      <c r="R26" s="1288"/>
      <c r="S26" s="1288"/>
      <c r="T26" s="1288"/>
      <c r="U26" s="1288"/>
      <c r="V26" s="1288"/>
      <c r="W26" s="1288"/>
      <c r="X26" s="1288"/>
      <c r="Y26" s="1288"/>
      <c r="Z26" s="1288"/>
      <c r="AA26" s="1288"/>
      <c r="AB26" s="1288"/>
      <c r="AC26" s="1288"/>
      <c r="AD26" s="1288"/>
      <c r="AE26" s="1288"/>
      <c r="AF26" s="61"/>
      <c r="AG26" s="61"/>
      <c r="AH26" s="61"/>
      <c r="AI26" s="61"/>
    </row>
    <row r="27" spans="1:35" s="249" customFormat="1" ht="15" customHeight="1" x14ac:dyDescent="0.25">
      <c r="A27" s="1288" t="s">
        <v>1512</v>
      </c>
      <c r="B27" s="1288"/>
      <c r="C27" s="1288"/>
      <c r="D27" s="1288"/>
      <c r="E27" s="1288"/>
      <c r="F27" s="1288"/>
      <c r="G27" s="1288"/>
      <c r="H27" s="1288"/>
      <c r="I27" s="1288"/>
      <c r="J27" s="1288"/>
      <c r="K27" s="1288"/>
      <c r="L27" s="1288"/>
      <c r="M27" s="1288"/>
      <c r="N27" s="1288"/>
      <c r="O27" s="1288"/>
      <c r="P27" s="1288"/>
      <c r="Q27" s="1288"/>
      <c r="R27" s="1288"/>
      <c r="S27" s="1288"/>
      <c r="T27" s="1288"/>
      <c r="U27" s="1288"/>
      <c r="V27" s="1288"/>
      <c r="W27" s="1288"/>
      <c r="X27" s="1288"/>
      <c r="Y27" s="1288"/>
      <c r="Z27" s="1288"/>
      <c r="AA27" s="1288"/>
      <c r="AB27" s="1288"/>
      <c r="AC27" s="1288"/>
      <c r="AD27" s="1288"/>
      <c r="AE27" s="1288"/>
      <c r="AF27" s="61"/>
      <c r="AG27" s="61"/>
      <c r="AH27" s="61"/>
      <c r="AI27" s="61"/>
    </row>
    <row r="28" spans="1:35" s="249" customFormat="1" ht="15" customHeight="1" x14ac:dyDescent="0.25">
      <c r="A28" s="1288" t="s">
        <v>1513</v>
      </c>
      <c r="B28" s="1288"/>
      <c r="C28" s="1288"/>
      <c r="D28" s="1288"/>
      <c r="E28" s="1288"/>
      <c r="F28" s="1288"/>
      <c r="G28" s="1288"/>
      <c r="H28" s="1288"/>
      <c r="I28" s="1288"/>
      <c r="J28" s="1288"/>
      <c r="K28" s="1288"/>
      <c r="L28" s="1288"/>
      <c r="M28" s="1288"/>
      <c r="N28" s="1288"/>
      <c r="O28" s="1288"/>
      <c r="P28" s="1288"/>
      <c r="Q28" s="1288"/>
      <c r="R28" s="1288"/>
      <c r="S28" s="1288"/>
      <c r="T28" s="1288"/>
      <c r="U28" s="1288"/>
      <c r="V28" s="1288"/>
      <c r="W28" s="1288"/>
      <c r="X28" s="1288"/>
      <c r="Y28" s="1288"/>
      <c r="Z28" s="1288"/>
      <c r="AA28" s="1288"/>
      <c r="AB28" s="1288"/>
      <c r="AC28" s="1288"/>
      <c r="AD28" s="1288"/>
      <c r="AE28" s="1288"/>
      <c r="AF28" s="61"/>
      <c r="AG28" s="61"/>
      <c r="AH28" s="61"/>
      <c r="AI28" s="61"/>
    </row>
    <row r="29" spans="1:35" s="249" customFormat="1" ht="5.25" customHeight="1" x14ac:dyDescent="0.25">
      <c r="AB29" s="270"/>
      <c r="AC29" s="270"/>
      <c r="AD29" s="270"/>
      <c r="AE29" s="270"/>
      <c r="AF29" s="61"/>
      <c r="AG29" s="61"/>
      <c r="AH29" s="61"/>
      <c r="AI29" s="61"/>
    </row>
    <row r="30" spans="1:35" s="192" customFormat="1" ht="38.25" customHeight="1" x14ac:dyDescent="0.3">
      <c r="A30" s="1041" t="s">
        <v>1514</v>
      </c>
      <c r="B30" s="1041"/>
      <c r="C30" s="1041"/>
      <c r="D30" s="1041"/>
      <c r="E30" s="1041"/>
      <c r="F30" s="1041"/>
      <c r="G30" s="1041"/>
      <c r="H30" s="1041"/>
      <c r="I30" s="1041"/>
      <c r="J30" s="1041"/>
      <c r="K30" s="1041"/>
      <c r="L30" s="1041"/>
      <c r="M30" s="1041"/>
      <c r="N30" s="1041"/>
      <c r="O30" s="1041"/>
      <c r="P30" s="1041"/>
      <c r="Q30" s="1041"/>
      <c r="R30" s="1041"/>
      <c r="S30" s="1041"/>
      <c r="T30" s="1041"/>
      <c r="U30" s="1041"/>
      <c r="V30" s="1041"/>
      <c r="W30" s="1041"/>
      <c r="X30" s="1041"/>
      <c r="Y30" s="1041"/>
      <c r="Z30" s="1041"/>
      <c r="AA30" s="1041"/>
      <c r="AB30" s="1041"/>
      <c r="AC30" s="1041"/>
      <c r="AD30" s="1041"/>
      <c r="AE30" s="1041"/>
      <c r="AF30" s="61"/>
      <c r="AG30" s="61"/>
      <c r="AH30" s="61"/>
      <c r="AI30" s="61"/>
    </row>
    <row r="31" spans="1:35" s="192" customFormat="1" ht="7.5" customHeight="1" x14ac:dyDescent="0.3">
      <c r="A31" s="748"/>
      <c r="B31" s="748"/>
      <c r="C31" s="748"/>
      <c r="D31" s="748"/>
      <c r="E31" s="748"/>
      <c r="F31" s="748"/>
      <c r="G31" s="748"/>
      <c r="H31" s="748"/>
      <c r="I31" s="748"/>
      <c r="J31" s="748"/>
      <c r="K31" s="748"/>
      <c r="L31" s="748"/>
      <c r="M31" s="748"/>
      <c r="N31" s="748"/>
      <c r="O31" s="748"/>
      <c r="P31" s="748"/>
      <c r="Q31" s="748"/>
      <c r="R31" s="748"/>
      <c r="S31" s="748"/>
      <c r="T31" s="748"/>
      <c r="U31" s="748"/>
      <c r="V31" s="748"/>
      <c r="W31" s="748"/>
      <c r="X31" s="748"/>
      <c r="Y31" s="748"/>
      <c r="Z31" s="748"/>
      <c r="AA31" s="748"/>
      <c r="AB31" s="928"/>
      <c r="AC31" s="928"/>
      <c r="AD31" s="928"/>
      <c r="AE31" s="928"/>
      <c r="AF31" s="61"/>
      <c r="AG31" s="61"/>
      <c r="AH31" s="61"/>
      <c r="AI31" s="61"/>
    </row>
    <row r="32" spans="1:35" s="249" customFormat="1" ht="22.5" x14ac:dyDescent="0.35">
      <c r="A32" s="974" t="s">
        <v>1036</v>
      </c>
      <c r="B32" s="974"/>
      <c r="C32" s="974"/>
      <c r="D32" s="974"/>
      <c r="E32" s="974"/>
      <c r="F32" s="974"/>
      <c r="G32" s="974"/>
      <c r="H32" s="974"/>
      <c r="I32" s="974"/>
      <c r="J32" s="974"/>
      <c r="K32" s="974"/>
      <c r="L32" s="974"/>
      <c r="M32" s="974"/>
      <c r="N32" s="974"/>
      <c r="O32" s="974"/>
      <c r="P32" s="974"/>
      <c r="Q32" s="974"/>
      <c r="R32" s="974"/>
      <c r="S32" s="974"/>
      <c r="T32" s="974"/>
      <c r="U32" s="974"/>
      <c r="V32" s="974"/>
      <c r="W32" s="974"/>
      <c r="X32" s="974"/>
      <c r="Y32" s="974"/>
      <c r="Z32" s="974"/>
      <c r="AA32" s="974"/>
      <c r="AB32" s="974"/>
      <c r="AC32" s="974"/>
      <c r="AD32" s="974"/>
      <c r="AE32" s="974"/>
      <c r="AF32" s="61"/>
      <c r="AG32" s="61"/>
      <c r="AH32" s="61"/>
      <c r="AI32" s="61"/>
    </row>
    <row r="33" spans="1:35" s="249" customFormat="1" ht="11.25" customHeight="1" x14ac:dyDescent="0.3">
      <c r="A33" s="354"/>
      <c r="B33" s="354"/>
      <c r="C33" s="354"/>
      <c r="D33" s="354"/>
      <c r="E33" s="354"/>
      <c r="F33" s="354"/>
      <c r="G33" s="354"/>
      <c r="H33" s="354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4"/>
      <c r="Y33" s="354"/>
      <c r="Z33" s="354"/>
      <c r="AA33" s="354"/>
      <c r="AB33" s="565"/>
      <c r="AC33" s="565"/>
      <c r="AD33" s="565"/>
      <c r="AE33" s="565"/>
      <c r="AF33" s="61"/>
      <c r="AG33" s="61"/>
      <c r="AH33" s="61"/>
      <c r="AI33" s="61"/>
    </row>
    <row r="34" spans="1:35" s="192" customFormat="1" ht="43.5" customHeight="1" x14ac:dyDescent="0.3">
      <c r="A34" s="1041" t="s">
        <v>1515</v>
      </c>
      <c r="B34" s="1041"/>
      <c r="C34" s="1041"/>
      <c r="D34" s="1041"/>
      <c r="E34" s="1041"/>
      <c r="F34" s="1041"/>
      <c r="G34" s="1041"/>
      <c r="H34" s="1041"/>
      <c r="I34" s="1041"/>
      <c r="J34" s="1041"/>
      <c r="K34" s="1041"/>
      <c r="L34" s="1041"/>
      <c r="M34" s="1041"/>
      <c r="N34" s="1041"/>
      <c r="O34" s="1041"/>
      <c r="P34" s="1041"/>
      <c r="Q34" s="1041"/>
      <c r="R34" s="1041"/>
      <c r="S34" s="1041"/>
      <c r="T34" s="1041"/>
      <c r="U34" s="1041"/>
      <c r="V34" s="1041"/>
      <c r="W34" s="1041"/>
      <c r="X34" s="1041"/>
      <c r="Y34" s="1041"/>
      <c r="Z34" s="1041"/>
      <c r="AA34" s="1041"/>
      <c r="AB34" s="1041"/>
      <c r="AC34" s="1041"/>
      <c r="AD34" s="1041"/>
      <c r="AE34" s="1041"/>
      <c r="AF34" s="1041"/>
      <c r="AG34" s="61"/>
      <c r="AH34" s="61"/>
      <c r="AI34" s="61"/>
    </row>
    <row r="35" spans="1:35" s="249" customFormat="1" ht="20.25" x14ac:dyDescent="0.35">
      <c r="A35" s="974" t="s">
        <v>1037</v>
      </c>
      <c r="B35" s="974"/>
      <c r="C35" s="974"/>
      <c r="D35" s="974"/>
      <c r="E35" s="974"/>
      <c r="F35" s="974"/>
      <c r="G35" s="974"/>
      <c r="H35" s="974"/>
      <c r="I35" s="974"/>
      <c r="J35" s="974"/>
      <c r="K35" s="974"/>
      <c r="L35" s="974"/>
      <c r="M35" s="974"/>
      <c r="N35" s="974"/>
      <c r="O35" s="974"/>
      <c r="P35" s="974"/>
      <c r="Q35" s="974"/>
      <c r="R35" s="974"/>
      <c r="S35" s="974"/>
      <c r="T35" s="974"/>
      <c r="U35" s="974"/>
      <c r="V35" s="974"/>
      <c r="W35" s="974"/>
      <c r="X35" s="974"/>
      <c r="Y35" s="974"/>
      <c r="Z35" s="974"/>
      <c r="AA35" s="974"/>
      <c r="AB35" s="974"/>
      <c r="AC35" s="974"/>
      <c r="AD35" s="974"/>
      <c r="AE35" s="974"/>
      <c r="AF35" s="61"/>
      <c r="AG35" s="61"/>
      <c r="AH35" s="61"/>
      <c r="AI35" s="61"/>
    </row>
    <row r="36" spans="1:35" s="249" customFormat="1" ht="15" customHeight="1" x14ac:dyDescent="0.25">
      <c r="A36" s="249" t="s">
        <v>801</v>
      </c>
      <c r="AB36" s="270"/>
      <c r="AC36" s="270"/>
      <c r="AD36" s="270"/>
      <c r="AE36" s="270"/>
      <c r="AF36" s="61"/>
      <c r="AG36" s="61"/>
      <c r="AH36" s="61"/>
      <c r="AI36" s="61"/>
    </row>
    <row r="37" spans="1:35" s="249" customFormat="1" ht="15" customHeight="1" x14ac:dyDescent="0.25">
      <c r="A37" s="1288" t="s">
        <v>1516</v>
      </c>
      <c r="B37" s="1288"/>
      <c r="C37" s="1288"/>
      <c r="D37" s="1288"/>
      <c r="E37" s="1288"/>
      <c r="F37" s="1288"/>
      <c r="G37" s="1288"/>
      <c r="H37" s="1288"/>
      <c r="I37" s="1288"/>
      <c r="J37" s="1288"/>
      <c r="K37" s="1288"/>
      <c r="L37" s="1288"/>
      <c r="M37" s="1288"/>
      <c r="N37" s="1288"/>
      <c r="O37" s="1288"/>
      <c r="P37" s="1288"/>
      <c r="Q37" s="1288"/>
      <c r="R37" s="1288"/>
      <c r="S37" s="1288"/>
      <c r="T37" s="1288"/>
      <c r="U37" s="1288"/>
      <c r="V37" s="1288"/>
      <c r="W37" s="1288"/>
      <c r="X37" s="1288"/>
      <c r="Y37" s="1288"/>
      <c r="Z37" s="1288"/>
      <c r="AA37" s="1288"/>
      <c r="AB37" s="1288"/>
      <c r="AC37" s="1288"/>
      <c r="AD37" s="1288"/>
      <c r="AE37" s="1288"/>
      <c r="AF37" s="61"/>
      <c r="AG37" s="61"/>
      <c r="AH37" s="61"/>
      <c r="AI37" s="61"/>
    </row>
    <row r="38" spans="1:35" s="249" customFormat="1" ht="15.75" x14ac:dyDescent="0.25">
      <c r="A38" s="1432" t="s">
        <v>1517</v>
      </c>
      <c r="B38" s="1432"/>
      <c r="C38" s="1432"/>
      <c r="D38" s="1432"/>
      <c r="E38" s="1432"/>
      <c r="F38" s="1432"/>
      <c r="G38" s="1432"/>
      <c r="H38" s="1432"/>
      <c r="I38" s="1432"/>
      <c r="J38" s="1432"/>
      <c r="K38" s="1432"/>
      <c r="L38" s="1432"/>
      <c r="M38" s="1432"/>
      <c r="N38" s="1432"/>
      <c r="O38" s="1432"/>
      <c r="P38" s="1432"/>
      <c r="Q38" s="1432"/>
      <c r="R38" s="1432"/>
      <c r="S38" s="1432"/>
      <c r="T38" s="1432"/>
      <c r="U38" s="1432"/>
      <c r="V38" s="1432"/>
      <c r="W38" s="1432"/>
      <c r="X38" s="1432"/>
      <c r="Y38" s="1432"/>
      <c r="Z38" s="1432"/>
      <c r="AA38" s="1432"/>
      <c r="AB38" s="1432"/>
      <c r="AC38" s="1432"/>
      <c r="AD38" s="1432"/>
      <c r="AE38" s="1432"/>
      <c r="AF38" s="61"/>
      <c r="AG38" s="61"/>
      <c r="AH38" s="61"/>
      <c r="AI38" s="61"/>
    </row>
    <row r="39" spans="1:35" s="249" customFormat="1" ht="15.75" x14ac:dyDescent="0.25">
      <c r="A39" s="749"/>
      <c r="B39" s="749"/>
      <c r="C39" s="749"/>
      <c r="D39" s="749"/>
      <c r="E39" s="749"/>
      <c r="F39" s="749"/>
      <c r="G39" s="749"/>
      <c r="H39" s="749"/>
      <c r="I39" s="749"/>
      <c r="J39" s="749"/>
      <c r="K39" s="749"/>
      <c r="L39" s="749"/>
      <c r="M39" s="749"/>
      <c r="N39" s="749"/>
      <c r="O39" s="749"/>
      <c r="P39" s="749"/>
      <c r="Q39" s="749"/>
      <c r="R39" s="749"/>
      <c r="S39" s="749"/>
      <c r="T39" s="749"/>
      <c r="U39" s="749"/>
      <c r="V39" s="749"/>
      <c r="W39" s="749"/>
      <c r="X39" s="749"/>
      <c r="Y39" s="749"/>
      <c r="Z39" s="749"/>
      <c r="AA39" s="749"/>
      <c r="AB39" s="929"/>
      <c r="AC39" s="929"/>
      <c r="AD39" s="929"/>
      <c r="AE39" s="929"/>
      <c r="AF39" s="61"/>
      <c r="AG39" s="61"/>
      <c r="AH39" s="61"/>
      <c r="AI39" s="61"/>
    </row>
    <row r="40" spans="1:35" s="750" customFormat="1" ht="20.25" customHeight="1" x14ac:dyDescent="0.25">
      <c r="A40" s="1433" t="s">
        <v>1519</v>
      </c>
      <c r="B40" s="1433"/>
      <c r="C40" s="1433"/>
      <c r="D40" s="1433"/>
      <c r="E40" s="1433"/>
      <c r="F40" s="1433"/>
      <c r="G40" s="1433"/>
      <c r="H40" s="1433"/>
      <c r="I40" s="1433"/>
      <c r="J40" s="1433"/>
      <c r="K40" s="1433"/>
      <c r="L40" s="1433"/>
      <c r="M40" s="1433"/>
      <c r="N40" s="1433"/>
      <c r="O40" s="1433"/>
      <c r="P40" s="1433"/>
      <c r="Q40" s="1433"/>
      <c r="R40" s="1433"/>
      <c r="S40" s="1433"/>
      <c r="T40" s="1433"/>
      <c r="U40" s="1433"/>
      <c r="V40" s="1433"/>
      <c r="W40" s="1433"/>
      <c r="X40" s="1433"/>
      <c r="Y40" s="1433"/>
      <c r="Z40" s="1433"/>
      <c r="AA40" s="1433"/>
      <c r="AB40" s="1433"/>
      <c r="AC40" s="1433"/>
      <c r="AD40" s="1433"/>
      <c r="AE40" s="1433"/>
      <c r="AF40" s="1433"/>
      <c r="AG40" s="725"/>
      <c r="AH40" s="725"/>
      <c r="AI40" s="725"/>
    </row>
    <row r="41" spans="1:35" s="750" customFormat="1" ht="12.75" customHeight="1" x14ac:dyDescent="0.25">
      <c r="A41" s="266"/>
      <c r="B41" s="266"/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  <c r="W41" s="266"/>
      <c r="X41" s="266"/>
      <c r="Y41" s="266"/>
      <c r="Z41" s="266"/>
      <c r="AA41" s="266"/>
      <c r="AB41" s="930"/>
      <c r="AC41" s="930"/>
      <c r="AD41" s="930"/>
      <c r="AE41" s="930"/>
      <c r="AF41" s="725"/>
      <c r="AG41" s="725"/>
      <c r="AH41" s="725"/>
      <c r="AI41" s="725"/>
    </row>
    <row r="42" spans="1:35" ht="15" customHeight="1" x14ac:dyDescent="0.25">
      <c r="A42" s="273" t="s">
        <v>1038</v>
      </c>
      <c r="B42" s="184"/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</row>
    <row r="43" spans="1:35" s="417" customFormat="1" ht="15" customHeight="1" x14ac:dyDescent="0.2">
      <c r="A43" s="1469" t="s">
        <v>76</v>
      </c>
      <c r="B43" s="1472" t="s">
        <v>333</v>
      </c>
      <c r="C43" s="1475" t="s">
        <v>302</v>
      </c>
      <c r="D43" s="1478" t="s">
        <v>334</v>
      </c>
      <c r="E43" s="1478" t="s">
        <v>196</v>
      </c>
      <c r="F43" s="1263" t="s">
        <v>335</v>
      </c>
      <c r="G43" s="1263" t="s">
        <v>336</v>
      </c>
      <c r="H43" s="1263" t="s">
        <v>337</v>
      </c>
      <c r="I43" s="1263" t="s">
        <v>338</v>
      </c>
      <c r="J43" s="1263" t="s">
        <v>339</v>
      </c>
      <c r="K43" s="1504" t="s">
        <v>306</v>
      </c>
      <c r="L43" s="1505"/>
      <c r="M43" s="1263" t="s">
        <v>340</v>
      </c>
      <c r="N43" s="1478" t="s">
        <v>197</v>
      </c>
      <c r="O43" s="1462" t="s">
        <v>198</v>
      </c>
      <c r="P43" s="1463"/>
      <c r="Q43" s="1464"/>
      <c r="R43" s="1263" t="s">
        <v>202</v>
      </c>
      <c r="S43" s="1462" t="s">
        <v>205</v>
      </c>
      <c r="T43" s="1463"/>
      <c r="U43" s="1464"/>
      <c r="V43" s="1462" t="s">
        <v>206</v>
      </c>
      <c r="W43" s="1463"/>
      <c r="X43" s="1464"/>
      <c r="Y43" s="1462" t="s">
        <v>207</v>
      </c>
      <c r="Z43" s="1463"/>
      <c r="AA43" s="1464"/>
      <c r="AB43" s="1501" t="s">
        <v>20</v>
      </c>
      <c r="AC43" s="1508" t="s">
        <v>91</v>
      </c>
      <c r="AD43" s="1511" t="s">
        <v>22</v>
      </c>
      <c r="AE43" s="1511" t="s">
        <v>23</v>
      </c>
      <c r="AF43" s="61"/>
      <c r="AG43" s="61"/>
      <c r="AH43" s="61"/>
      <c r="AI43" s="61"/>
    </row>
    <row r="44" spans="1:35" s="417" customFormat="1" ht="15" customHeight="1" x14ac:dyDescent="0.2">
      <c r="A44" s="1470"/>
      <c r="B44" s="1473"/>
      <c r="C44" s="1476"/>
      <c r="D44" s="1479"/>
      <c r="E44" s="1479"/>
      <c r="F44" s="1468"/>
      <c r="G44" s="1468"/>
      <c r="H44" s="1468"/>
      <c r="I44" s="1468"/>
      <c r="J44" s="1468"/>
      <c r="K44" s="1506"/>
      <c r="L44" s="1507"/>
      <c r="M44" s="1468"/>
      <c r="N44" s="1479"/>
      <c r="O44" s="1465"/>
      <c r="P44" s="1466"/>
      <c r="Q44" s="1467"/>
      <c r="R44" s="1468"/>
      <c r="S44" s="1465"/>
      <c r="T44" s="1466"/>
      <c r="U44" s="1467"/>
      <c r="V44" s="1465"/>
      <c r="W44" s="1466"/>
      <c r="X44" s="1467"/>
      <c r="Y44" s="1465"/>
      <c r="Z44" s="1466"/>
      <c r="AA44" s="1467"/>
      <c r="AB44" s="1502"/>
      <c r="AC44" s="1509"/>
      <c r="AD44" s="1512"/>
      <c r="AE44" s="1512"/>
      <c r="AF44" s="61"/>
      <c r="AG44" s="61"/>
      <c r="AH44" s="61"/>
      <c r="AI44" s="61"/>
    </row>
    <row r="45" spans="1:35" s="417" customFormat="1" ht="15" customHeight="1" x14ac:dyDescent="0.2">
      <c r="A45" s="1471"/>
      <c r="B45" s="1474"/>
      <c r="C45" s="1477"/>
      <c r="D45" s="1480"/>
      <c r="E45" s="1480"/>
      <c r="F45" s="1264"/>
      <c r="G45" s="1264"/>
      <c r="H45" s="1264"/>
      <c r="I45" s="1264"/>
      <c r="J45" s="1264"/>
      <c r="K45" s="135" t="s">
        <v>208</v>
      </c>
      <c r="L45" s="135" t="s">
        <v>210</v>
      </c>
      <c r="M45" s="1264"/>
      <c r="N45" s="1480"/>
      <c r="O45" s="135" t="s">
        <v>208</v>
      </c>
      <c r="P45" s="135" t="s">
        <v>209</v>
      </c>
      <c r="Q45" s="135" t="s">
        <v>210</v>
      </c>
      <c r="R45" s="1264"/>
      <c r="S45" s="134" t="s">
        <v>208</v>
      </c>
      <c r="T45" s="134" t="s">
        <v>209</v>
      </c>
      <c r="U45" s="134" t="s">
        <v>210</v>
      </c>
      <c r="V45" s="134" t="s">
        <v>208</v>
      </c>
      <c r="W45" s="134" t="s">
        <v>209</v>
      </c>
      <c r="X45" s="134" t="s">
        <v>210</v>
      </c>
      <c r="Y45" s="134" t="s">
        <v>208</v>
      </c>
      <c r="Z45" s="134" t="s">
        <v>209</v>
      </c>
      <c r="AA45" s="134" t="s">
        <v>210</v>
      </c>
      <c r="AB45" s="1503"/>
      <c r="AC45" s="1510"/>
      <c r="AD45" s="1513"/>
      <c r="AE45" s="1513"/>
      <c r="AF45" s="61"/>
      <c r="AG45" s="61"/>
      <c r="AH45" s="61"/>
      <c r="AI45" s="61"/>
    </row>
    <row r="46" spans="1:35" s="417" customFormat="1" ht="15" customHeight="1" x14ac:dyDescent="0.2">
      <c r="A46" s="547">
        <v>1</v>
      </c>
      <c r="B46" s="133">
        <v>2</v>
      </c>
      <c r="C46" s="133">
        <v>3</v>
      </c>
      <c r="D46" s="133">
        <v>4</v>
      </c>
      <c r="E46" s="133">
        <v>5</v>
      </c>
      <c r="F46" s="133">
        <v>6</v>
      </c>
      <c r="G46" s="133">
        <v>7</v>
      </c>
      <c r="H46" s="133">
        <v>8</v>
      </c>
      <c r="I46" s="133">
        <v>9</v>
      </c>
      <c r="J46" s="133">
        <v>10</v>
      </c>
      <c r="K46" s="133">
        <v>11</v>
      </c>
      <c r="L46" s="133">
        <v>12</v>
      </c>
      <c r="M46" s="133">
        <v>13</v>
      </c>
      <c r="N46" s="133">
        <v>14</v>
      </c>
      <c r="O46" s="133">
        <v>15</v>
      </c>
      <c r="P46" s="133">
        <v>16</v>
      </c>
      <c r="Q46" s="133">
        <v>17</v>
      </c>
      <c r="R46" s="133">
        <v>18</v>
      </c>
      <c r="S46" s="133">
        <v>20</v>
      </c>
      <c r="T46" s="133">
        <v>21</v>
      </c>
      <c r="U46" s="133">
        <v>22</v>
      </c>
      <c r="V46" s="133">
        <v>23</v>
      </c>
      <c r="W46" s="133">
        <v>24</v>
      </c>
      <c r="X46" s="133">
        <v>25</v>
      </c>
      <c r="Y46" s="133">
        <v>26</v>
      </c>
      <c r="Z46" s="133">
        <v>27</v>
      </c>
      <c r="AA46" s="133">
        <v>28</v>
      </c>
      <c r="AB46" s="547">
        <v>19</v>
      </c>
      <c r="AC46" s="547">
        <v>20</v>
      </c>
      <c r="AD46" s="547">
        <v>21</v>
      </c>
      <c r="AE46" s="547">
        <v>22</v>
      </c>
      <c r="AF46" s="61"/>
      <c r="AG46" s="61"/>
      <c r="AH46" s="61"/>
      <c r="AI46" s="61"/>
    </row>
    <row r="47" spans="1:35" s="417" customFormat="1" ht="15" customHeight="1" x14ac:dyDescent="0.2">
      <c r="A47" s="1514" t="s">
        <v>148</v>
      </c>
      <c r="B47" s="1492"/>
      <c r="C47" s="1492"/>
      <c r="D47" s="1492"/>
      <c r="E47" s="1492"/>
      <c r="F47" s="1492"/>
      <c r="G47" s="1492"/>
      <c r="H47" s="1492"/>
      <c r="I47" s="1492"/>
      <c r="J47" s="1492"/>
      <c r="K47" s="1492"/>
      <c r="L47" s="1492"/>
      <c r="M47" s="1492"/>
      <c r="N47" s="1492"/>
      <c r="O47" s="1492"/>
      <c r="P47" s="1492"/>
      <c r="Q47" s="1492"/>
      <c r="R47" s="1492"/>
      <c r="S47" s="1492"/>
      <c r="T47" s="1492"/>
      <c r="U47" s="1492"/>
      <c r="V47" s="1492"/>
      <c r="W47" s="1492"/>
      <c r="X47" s="1492"/>
      <c r="Y47" s="1492"/>
      <c r="Z47" s="1492"/>
      <c r="AA47" s="1492"/>
      <c r="AB47" s="1492"/>
      <c r="AC47" s="1492"/>
      <c r="AD47" s="1492"/>
      <c r="AE47" s="1493"/>
      <c r="AF47" s="61"/>
      <c r="AG47" s="61"/>
      <c r="AH47" s="61"/>
      <c r="AI47" s="61"/>
    </row>
    <row r="48" spans="1:35" s="417" customFormat="1" ht="15" customHeight="1" x14ac:dyDescent="0.2">
      <c r="A48" s="1498" t="s">
        <v>545</v>
      </c>
      <c r="B48" s="1499"/>
      <c r="C48" s="1499"/>
      <c r="D48" s="1499"/>
      <c r="E48" s="1499"/>
      <c r="F48" s="1499"/>
      <c r="G48" s="1499"/>
      <c r="H48" s="1499"/>
      <c r="I48" s="1499"/>
      <c r="J48" s="1499"/>
      <c r="K48" s="1499"/>
      <c r="L48" s="1499"/>
      <c r="M48" s="1499"/>
      <c r="N48" s="1499"/>
      <c r="O48" s="1499"/>
      <c r="P48" s="1499"/>
      <c r="Q48" s="1499"/>
      <c r="R48" s="1499"/>
      <c r="S48" s="1499"/>
      <c r="T48" s="1499"/>
      <c r="U48" s="1499"/>
      <c r="V48" s="1499"/>
      <c r="W48" s="1499"/>
      <c r="X48" s="1499"/>
      <c r="Y48" s="1499"/>
      <c r="Z48" s="1499"/>
      <c r="AA48" s="1499"/>
      <c r="AB48" s="1499"/>
      <c r="AC48" s="1499"/>
      <c r="AD48" s="1499"/>
      <c r="AE48" s="1500"/>
      <c r="AF48" s="61"/>
      <c r="AG48" s="61"/>
      <c r="AH48" s="61"/>
      <c r="AI48" s="61"/>
    </row>
    <row r="49" spans="1:35" s="417" customFormat="1" ht="15" customHeight="1" x14ac:dyDescent="0.2">
      <c r="A49" s="548" t="s">
        <v>331</v>
      </c>
      <c r="B49" s="384" t="s">
        <v>343</v>
      </c>
      <c r="C49" s="212">
        <v>3</v>
      </c>
      <c r="D49" s="170">
        <v>1</v>
      </c>
      <c r="E49" s="170">
        <v>1</v>
      </c>
      <c r="F49" s="170">
        <v>6</v>
      </c>
      <c r="G49" s="170">
        <v>60</v>
      </c>
      <c r="H49" s="170">
        <f>(8-1-0.75*2)*60*E49-J49-8*0.12*60</f>
        <v>57.900000000000006</v>
      </c>
      <c r="I49" s="170">
        <v>14</v>
      </c>
      <c r="J49" s="170">
        <f>(8-1-0.75*2)*0.65*60*E49</f>
        <v>214.5</v>
      </c>
      <c r="K49" s="170">
        <v>1.49</v>
      </c>
      <c r="L49" s="170">
        <v>1.49</v>
      </c>
      <c r="M49" s="170">
        <v>10</v>
      </c>
      <c r="N49" s="170">
        <f>D49/E49</f>
        <v>1</v>
      </c>
      <c r="O49" s="170">
        <v>180</v>
      </c>
      <c r="P49" s="170">
        <v>47</v>
      </c>
      <c r="Q49" s="211">
        <v>20</v>
      </c>
      <c r="R49" s="170">
        <v>0.28999999999999998</v>
      </c>
      <c r="S49" s="207">
        <f>ROUND((K49*H49+1.3*K49*J49+R49*G49),4)</f>
        <v>519.15750000000003</v>
      </c>
      <c r="T49" s="207">
        <f>ROUND((L49*H49+1.3*L49*J49+R49*G49),4)</f>
        <v>519.15750000000003</v>
      </c>
      <c r="U49" s="207">
        <f>ROUND((L49*H49+1.3*L49*J49+R49*G49),4)</f>
        <v>519.15750000000003</v>
      </c>
      <c r="V49" s="207">
        <f>ROUND((K49*I49+1.3*K49*M49+R49*F49),4)</f>
        <v>41.97</v>
      </c>
      <c r="W49" s="207">
        <f>ROUND((L49*I49+1.3*L49*M49+R49*F49),4)</f>
        <v>41.97</v>
      </c>
      <c r="X49" s="207">
        <f>ROUND((L49*I49+1.3*L49*M49+R49*F49),4)</f>
        <v>41.97</v>
      </c>
      <c r="Y49" s="385">
        <f>ROUND((O49*S49*E49*N49/1000000),4)</f>
        <v>9.3399999999999997E-2</v>
      </c>
      <c r="Z49" s="385">
        <f>ROUND((P49*T49*E49*N49/1000000),4)</f>
        <v>2.4400000000000002E-2</v>
      </c>
      <c r="AA49" s="385">
        <f>ROUND((Q49*U49*E49*N49/1000000),4)</f>
        <v>1.04E-2</v>
      </c>
      <c r="AB49" s="931" t="s">
        <v>48</v>
      </c>
      <c r="AC49" s="932" t="s">
        <v>49</v>
      </c>
      <c r="AD49" s="933">
        <f>ROUND((((W49*D49)/1800)*0.8),4)</f>
        <v>1.8700000000000001E-2</v>
      </c>
      <c r="AE49" s="933">
        <f>ROUND(((Y49+Z49+AA49)*0.8),4)</f>
        <v>0.1026</v>
      </c>
      <c r="AF49" s="61"/>
      <c r="AG49" s="61"/>
      <c r="AH49" s="61"/>
      <c r="AI49" s="61"/>
    </row>
    <row r="50" spans="1:35" s="417" customFormat="1" ht="15" customHeight="1" x14ac:dyDescent="0.2">
      <c r="A50" s="549" t="s">
        <v>166</v>
      </c>
      <c r="B50" s="386" t="s">
        <v>344</v>
      </c>
      <c r="C50" s="387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388"/>
      <c r="S50" s="215"/>
      <c r="T50" s="215"/>
      <c r="U50" s="215"/>
      <c r="V50" s="215"/>
      <c r="W50" s="215"/>
      <c r="X50" s="215"/>
      <c r="Y50" s="215"/>
      <c r="Z50" s="215"/>
      <c r="AA50" s="215"/>
      <c r="AB50" s="931" t="s">
        <v>51</v>
      </c>
      <c r="AC50" s="932" t="s">
        <v>52</v>
      </c>
      <c r="AD50" s="933">
        <f>ROUND((((W49*D49)/1800)*0.13),4)</f>
        <v>3.0000000000000001E-3</v>
      </c>
      <c r="AE50" s="933">
        <f>ROUND(((Y49+Z49+AA49)*0.13),4)</f>
        <v>1.67E-2</v>
      </c>
      <c r="AF50" s="61"/>
      <c r="AG50" s="61"/>
      <c r="AH50" s="61"/>
      <c r="AI50" s="61"/>
    </row>
    <row r="51" spans="1:35" s="417" customFormat="1" ht="15" customHeight="1" x14ac:dyDescent="0.2">
      <c r="A51" s="550"/>
      <c r="B51" s="209" t="s">
        <v>342</v>
      </c>
      <c r="C51" s="389"/>
      <c r="D51" s="209"/>
      <c r="E51" s="209"/>
      <c r="F51" s="209"/>
      <c r="G51" s="209"/>
      <c r="H51" s="209"/>
      <c r="I51" s="209"/>
      <c r="J51" s="209"/>
      <c r="K51" s="209">
        <v>0.12</v>
      </c>
      <c r="L51" s="209">
        <v>0.15</v>
      </c>
      <c r="M51" s="209"/>
      <c r="N51" s="209"/>
      <c r="O51" s="209"/>
      <c r="P51" s="209"/>
      <c r="Q51" s="209"/>
      <c r="R51" s="133">
        <v>5.8000000000000003E-2</v>
      </c>
      <c r="S51" s="207">
        <f>ROUND((K51*H49+1.3*K51*J49+R51*G49),4)</f>
        <v>43.89</v>
      </c>
      <c r="T51" s="207">
        <f>ROUND((L51*0.9*H49+1.3*L51*0.9*J49+R51*G49),4)</f>
        <v>48.941299999999998</v>
      </c>
      <c r="U51" s="207">
        <f>ROUND((L51*H49+1.3*L51*J49+R51*G49),4)</f>
        <v>53.9925</v>
      </c>
      <c r="V51" s="207">
        <f>ROUND((K51*I49+1.3*K51*M49+R51*F49),4)</f>
        <v>3.5880000000000001</v>
      </c>
      <c r="W51" s="207">
        <f>ROUND((L51*0.9*I49+1.3*L51*0.9*M49+R51*F49),4)</f>
        <v>3.9929999999999999</v>
      </c>
      <c r="X51" s="207">
        <f>ROUND((L51*I49+1.3*L51*M49+R51*F49),4)</f>
        <v>4.3979999999999997</v>
      </c>
      <c r="Y51" s="385">
        <f>ROUND((O49*S51*E49*N49/1000000),4)</f>
        <v>7.9000000000000008E-3</v>
      </c>
      <c r="Z51" s="385">
        <f>ROUND((P49*T51*E49*N49/1000000),4)</f>
        <v>2.3E-3</v>
      </c>
      <c r="AA51" s="385">
        <f>ROUND((Q49*U51*E49*N49/1000000),4)</f>
        <v>1.1000000000000001E-3</v>
      </c>
      <c r="AB51" s="931" t="s">
        <v>56</v>
      </c>
      <c r="AC51" s="932" t="s">
        <v>57</v>
      </c>
      <c r="AD51" s="933">
        <f>ROUND((((W51*D49)/1800)),4)</f>
        <v>2.2000000000000001E-3</v>
      </c>
      <c r="AE51" s="933">
        <f>ROUND(((Y51+Z51+AA51)),5)</f>
        <v>1.1299999999999999E-2</v>
      </c>
      <c r="AF51" s="61"/>
      <c r="AG51" s="61"/>
      <c r="AH51" s="61"/>
      <c r="AI51" s="61"/>
    </row>
    <row r="52" spans="1:35" s="417" customFormat="1" ht="15" customHeight="1" x14ac:dyDescent="0.2">
      <c r="A52" s="550"/>
      <c r="B52" s="209"/>
      <c r="C52" s="387"/>
      <c r="D52" s="209"/>
      <c r="E52" s="209"/>
      <c r="F52" s="209"/>
      <c r="G52" s="209"/>
      <c r="H52" s="209"/>
      <c r="I52" s="209"/>
      <c r="J52" s="209"/>
      <c r="K52" s="209">
        <v>0.26</v>
      </c>
      <c r="L52" s="209">
        <v>0.31</v>
      </c>
      <c r="M52" s="209"/>
      <c r="N52" s="209"/>
      <c r="O52" s="209"/>
      <c r="P52" s="209"/>
      <c r="Q52" s="209"/>
      <c r="R52" s="133">
        <v>0.18</v>
      </c>
      <c r="S52" s="207">
        <f>ROUND((K52*H49+1.3*K52*J49+R52*G49),4)</f>
        <v>98.355000000000004</v>
      </c>
      <c r="T52" s="207">
        <f>ROUND((L52*0.9*H49+1.3*L52*0.9*J49+R52*G49),4)</f>
        <v>104.7533</v>
      </c>
      <c r="U52" s="207">
        <f>ROUND((L52*H49+1.3*L52*J49+R52*G49),4)</f>
        <v>115.1925</v>
      </c>
      <c r="V52" s="207">
        <f>ROUND((K52*I49+1.3*K52*M49+R52*F49),4)</f>
        <v>8.1</v>
      </c>
      <c r="W52" s="207">
        <f>ROUND((L52*0.9*I49+1.3*L52*0.9*M49+R52*F49),4)</f>
        <v>8.6129999999999995</v>
      </c>
      <c r="X52" s="207">
        <f>ROUND((L52*I49+1.3*M49+R52*F49),4)</f>
        <v>18.420000000000002</v>
      </c>
      <c r="Y52" s="385">
        <f>ROUND((O49*S52*E49*N49/1000000),4)</f>
        <v>1.77E-2</v>
      </c>
      <c r="Z52" s="385">
        <f>ROUND((P49*T52*E49*N49/1000000),4)</f>
        <v>4.8999999999999998E-3</v>
      </c>
      <c r="AA52" s="385">
        <f>ROUND((Q49*U52*E49*N49/1000000),4)</f>
        <v>2.3E-3</v>
      </c>
      <c r="AB52" s="931" t="s">
        <v>177</v>
      </c>
      <c r="AC52" s="932" t="s">
        <v>178</v>
      </c>
      <c r="AD52" s="933">
        <f>ROUND((((W52*D49)/1800)),4)</f>
        <v>4.7999999999999996E-3</v>
      </c>
      <c r="AE52" s="933">
        <f>ROUND(((Y52+Z52+AA52)),4)</f>
        <v>2.4899999999999999E-2</v>
      </c>
      <c r="AF52" s="61"/>
      <c r="AG52" s="61"/>
      <c r="AH52" s="61"/>
      <c r="AI52" s="61"/>
    </row>
    <row r="53" spans="1:35" s="417" customFormat="1" ht="15" customHeight="1" x14ac:dyDescent="0.2">
      <c r="A53" s="550"/>
      <c r="B53" s="209"/>
      <c r="C53" s="387"/>
      <c r="D53" s="209"/>
      <c r="E53" s="209"/>
      <c r="F53" s="209"/>
      <c r="G53" s="209"/>
      <c r="H53" s="209"/>
      <c r="I53" s="209"/>
      <c r="J53" s="209"/>
      <c r="K53" s="209">
        <v>0.17</v>
      </c>
      <c r="L53" s="209">
        <v>0.25</v>
      </c>
      <c r="M53" s="209"/>
      <c r="N53" s="209"/>
      <c r="O53" s="209"/>
      <c r="P53" s="209"/>
      <c r="Q53" s="209"/>
      <c r="R53" s="133">
        <v>0.04</v>
      </c>
      <c r="S53" s="207">
        <f>ROUND((K53*H49+1.3*K53*J49+R53*G49),4)</f>
        <v>59.647500000000001</v>
      </c>
      <c r="T53" s="207">
        <f>ROUND((L53*0.9*H49+1.3*L53*0.9*J49+R53*G49),4)</f>
        <v>78.168800000000005</v>
      </c>
      <c r="U53" s="207">
        <f>ROUND((L53*H49+1.3*L53*J49+R53*G49),4)</f>
        <v>86.587500000000006</v>
      </c>
      <c r="V53" s="207">
        <f>ROUND((K53*I49+1.3*K53*M49+R53*F49),4)</f>
        <v>4.83</v>
      </c>
      <c r="W53" s="207">
        <f>ROUND((L53*0.9*I49+1.3*L53*0.9*M49+R53*F49),4)</f>
        <v>6.3150000000000004</v>
      </c>
      <c r="X53" s="207">
        <f>ROUND((L53*I49+1.3*L53*M49+R53*F49),4)</f>
        <v>6.99</v>
      </c>
      <c r="Y53" s="385">
        <f>ROUND((O49*S53*E49*N49/1000000),4)</f>
        <v>1.0699999999999999E-2</v>
      </c>
      <c r="Z53" s="385">
        <f>ROUND((P49*T53*E49*N49/1000000),4)</f>
        <v>3.7000000000000002E-3</v>
      </c>
      <c r="AA53" s="385">
        <f>ROUND((Q49*U53*E49*N49/1000000),4)</f>
        <v>1.6999999999999999E-3</v>
      </c>
      <c r="AB53" s="931" t="s">
        <v>61</v>
      </c>
      <c r="AC53" s="932" t="s">
        <v>62</v>
      </c>
      <c r="AD53" s="933">
        <f>ROUND((((W53*D49)/1800)),4)</f>
        <v>3.5000000000000001E-3</v>
      </c>
      <c r="AE53" s="933">
        <f>ROUND(((Y53+Z53+AA53)),4)</f>
        <v>1.61E-2</v>
      </c>
      <c r="AF53" s="61"/>
      <c r="AG53" s="61"/>
      <c r="AH53" s="61"/>
      <c r="AI53" s="61"/>
    </row>
    <row r="54" spans="1:35" s="417" customFormat="1" ht="15" customHeight="1" x14ac:dyDescent="0.2">
      <c r="A54" s="550"/>
      <c r="B54" s="210"/>
      <c r="C54" s="214"/>
      <c r="D54" s="210"/>
      <c r="E54" s="210"/>
      <c r="F54" s="210"/>
      <c r="G54" s="210"/>
      <c r="H54" s="210"/>
      <c r="I54" s="210"/>
      <c r="J54" s="210"/>
      <c r="K54" s="210">
        <v>0.77</v>
      </c>
      <c r="L54" s="210">
        <v>0.94</v>
      </c>
      <c r="M54" s="210"/>
      <c r="N54" s="210"/>
      <c r="O54" s="210"/>
      <c r="P54" s="210"/>
      <c r="Q54" s="210"/>
      <c r="R54" s="133">
        <v>1.44</v>
      </c>
      <c r="S54" s="207">
        <f>ROUND((K54*H49+1.3*K54*J49+R54*G49),4)</f>
        <v>345.69749999999999</v>
      </c>
      <c r="T54" s="207">
        <f>ROUND((L54*0.9*H49+1.3*L54*0.9*J49+R54*G49),4)</f>
        <v>371.29050000000001</v>
      </c>
      <c r="U54" s="207">
        <f>ROUND((L54*H49+1.3*L54*J49+R54*G49),4)</f>
        <v>402.94499999999999</v>
      </c>
      <c r="V54" s="207">
        <f>ROUND((K54*I49+1.3*K54*M49+R54*F49),4)</f>
        <v>29.43</v>
      </c>
      <c r="W54" s="207">
        <f>ROUND((L54*0.9*I49+1.3*L54*0.9*M49+R54*F49),4)</f>
        <v>31.481999999999999</v>
      </c>
      <c r="X54" s="207">
        <f>ROUND((L54*I49+1.3*L54*M49+R54*F49),4)</f>
        <v>34.020000000000003</v>
      </c>
      <c r="Y54" s="385">
        <f>ROUND((O49*S54*E49*N49/1000000),4)</f>
        <v>6.2199999999999998E-2</v>
      </c>
      <c r="Z54" s="385">
        <f>ROUND((P49*T54*E49*N49/1000000),4)</f>
        <v>1.7500000000000002E-2</v>
      </c>
      <c r="AA54" s="385">
        <f>ROUND((Q49*U54*E49*N49/1000000),4)</f>
        <v>8.0999999999999996E-3</v>
      </c>
      <c r="AB54" s="931" t="s">
        <v>65</v>
      </c>
      <c r="AC54" s="932" t="s">
        <v>66</v>
      </c>
      <c r="AD54" s="933">
        <f>ROUND((((W54*D49)/1800)),4)</f>
        <v>1.7500000000000002E-2</v>
      </c>
      <c r="AE54" s="933">
        <f>ROUND(((Y54+Z54+AA54)),4)</f>
        <v>8.7800000000000003E-2</v>
      </c>
      <c r="AF54" s="61">
        <f>SUM(AD49:AD54)</f>
        <v>4.9700000000000001E-2</v>
      </c>
      <c r="AG54" s="61">
        <f>SUM(AE49:AE54)</f>
        <v>0.25940000000000002</v>
      </c>
      <c r="AH54" s="61"/>
      <c r="AI54" s="61"/>
    </row>
    <row r="55" spans="1:35" s="417" customFormat="1" ht="15" customHeight="1" x14ac:dyDescent="0.2">
      <c r="A55" s="1498" t="s">
        <v>348</v>
      </c>
      <c r="B55" s="1499"/>
      <c r="C55" s="1499"/>
      <c r="D55" s="1499"/>
      <c r="E55" s="1499"/>
      <c r="F55" s="1499"/>
      <c r="G55" s="1499"/>
      <c r="H55" s="1499"/>
      <c r="I55" s="1499"/>
      <c r="J55" s="1499"/>
      <c r="K55" s="1499"/>
      <c r="L55" s="1499"/>
      <c r="M55" s="1499"/>
      <c r="N55" s="1499"/>
      <c r="O55" s="1499"/>
      <c r="P55" s="1499"/>
      <c r="Q55" s="1499"/>
      <c r="R55" s="1499"/>
      <c r="S55" s="1499"/>
      <c r="T55" s="1499"/>
      <c r="U55" s="1499"/>
      <c r="V55" s="1499"/>
      <c r="W55" s="1499"/>
      <c r="X55" s="1499"/>
      <c r="Y55" s="1499"/>
      <c r="Z55" s="1499"/>
      <c r="AA55" s="1499"/>
      <c r="AB55" s="1499"/>
      <c r="AC55" s="1499"/>
      <c r="AD55" s="1499"/>
      <c r="AE55" s="1500"/>
      <c r="AF55" s="61"/>
      <c r="AG55" s="61"/>
      <c r="AH55" s="61"/>
      <c r="AI55" s="61"/>
    </row>
    <row r="56" spans="1:35" s="417" customFormat="1" ht="15" customHeight="1" x14ac:dyDescent="0.2">
      <c r="A56" s="551" t="s">
        <v>347</v>
      </c>
      <c r="B56" s="390" t="s">
        <v>322</v>
      </c>
      <c r="C56" s="212">
        <v>6</v>
      </c>
      <c r="D56" s="170">
        <v>1</v>
      </c>
      <c r="E56" s="170">
        <v>1</v>
      </c>
      <c r="F56" s="170">
        <v>6</v>
      </c>
      <c r="G56" s="170">
        <v>60</v>
      </c>
      <c r="H56" s="170">
        <f>(8-1-0.75*2)*60*E56-J56-8*0.12*60</f>
        <v>57.900000000000006</v>
      </c>
      <c r="I56" s="170">
        <v>14</v>
      </c>
      <c r="J56" s="170">
        <f>(8-1-0.75*2)*0.65*60*E56</f>
        <v>214.5</v>
      </c>
      <c r="K56" s="207">
        <v>6.47</v>
      </c>
      <c r="L56" s="207">
        <v>6.47</v>
      </c>
      <c r="M56" s="170">
        <v>10</v>
      </c>
      <c r="N56" s="170">
        <f>D56/E56</f>
        <v>1</v>
      </c>
      <c r="O56" s="170">
        <v>180</v>
      </c>
      <c r="P56" s="170">
        <v>47</v>
      </c>
      <c r="Q56" s="211">
        <v>20</v>
      </c>
      <c r="R56" s="211">
        <v>1.27</v>
      </c>
      <c r="S56" s="207">
        <f>ROUND((K56*H56+1.3*K56*J56+R56*G56),4)</f>
        <v>2254.9724999999999</v>
      </c>
      <c r="T56" s="207">
        <f>ROUND((L56*H56+1.3*L56*J56+R56*G56),4)</f>
        <v>2254.9724999999999</v>
      </c>
      <c r="U56" s="207">
        <f>ROUND((L56*H56+1.3*L56*J56+R56*G56),4)</f>
        <v>2254.9724999999999</v>
      </c>
      <c r="V56" s="207">
        <f>ROUND((K56*I56+1.3*K56*M56+R56*F56),4)</f>
        <v>182.31</v>
      </c>
      <c r="W56" s="207">
        <f>ROUND((L56*I56+1.3*L56*M56+R56*F56),4)</f>
        <v>182.31</v>
      </c>
      <c r="X56" s="207">
        <f>ROUND((L56*I56+1.3*L56*M56+R56*F56),4)</f>
        <v>182.31</v>
      </c>
      <c r="Y56" s="385">
        <f>ROUND((O56*S56*E56*N56/1000000),4)</f>
        <v>0.40589999999999998</v>
      </c>
      <c r="Z56" s="385">
        <f>ROUND((P56*T56*E56*N56/1000000),4)</f>
        <v>0.106</v>
      </c>
      <c r="AA56" s="385">
        <f>ROUND((Q56*U56*E56*N56/1000000),4)</f>
        <v>4.5100000000000001E-2</v>
      </c>
      <c r="AB56" s="931" t="s">
        <v>48</v>
      </c>
      <c r="AC56" s="932" t="s">
        <v>49</v>
      </c>
      <c r="AD56" s="933">
        <f>ROUND((((W56*D56)/1800)*0.8),4)</f>
        <v>8.1000000000000003E-2</v>
      </c>
      <c r="AE56" s="933">
        <f>ROUND(((Y56+Z56+AA56)*0.8),4)</f>
        <v>0.4456</v>
      </c>
      <c r="AF56" s="61"/>
      <c r="AG56" s="61"/>
      <c r="AH56" s="61"/>
      <c r="AI56" s="61"/>
    </row>
    <row r="57" spans="1:35" s="417" customFormat="1" ht="15" customHeight="1" x14ac:dyDescent="0.2">
      <c r="A57" s="552"/>
      <c r="B57" s="386" t="s">
        <v>332</v>
      </c>
      <c r="C57" s="387"/>
      <c r="D57" s="209"/>
      <c r="E57" s="209"/>
      <c r="F57" s="209"/>
      <c r="G57" s="209"/>
      <c r="H57" s="209"/>
      <c r="I57" s="209"/>
      <c r="J57" s="209"/>
      <c r="K57" s="210"/>
      <c r="L57" s="210"/>
      <c r="M57" s="209"/>
      <c r="N57" s="209"/>
      <c r="O57" s="209"/>
      <c r="P57" s="209"/>
      <c r="Q57" s="209"/>
      <c r="R57" s="213"/>
      <c r="S57" s="215"/>
      <c r="T57" s="215"/>
      <c r="U57" s="215"/>
      <c r="V57" s="215"/>
      <c r="W57" s="215"/>
      <c r="X57" s="215"/>
      <c r="Y57" s="215"/>
      <c r="Z57" s="215"/>
      <c r="AA57" s="215"/>
      <c r="AB57" s="931" t="s">
        <v>51</v>
      </c>
      <c r="AC57" s="932" t="s">
        <v>52</v>
      </c>
      <c r="AD57" s="933">
        <f>ROUND((((W56*D56)/1800)*0.13),4)</f>
        <v>1.32E-2</v>
      </c>
      <c r="AE57" s="933">
        <f>ROUND(((Y56+Z56+AA56)*0.13),4)</f>
        <v>7.2400000000000006E-2</v>
      </c>
      <c r="AF57" s="61"/>
      <c r="AG57" s="61"/>
      <c r="AH57" s="61"/>
      <c r="AI57" s="61"/>
    </row>
    <row r="58" spans="1:35" s="417" customFormat="1" ht="15" customHeight="1" x14ac:dyDescent="0.2">
      <c r="A58" s="552"/>
      <c r="B58" s="209" t="s">
        <v>341</v>
      </c>
      <c r="C58" s="389"/>
      <c r="D58" s="209"/>
      <c r="E58" s="209"/>
      <c r="F58" s="209"/>
      <c r="G58" s="209"/>
      <c r="H58" s="209"/>
      <c r="I58" s="209"/>
      <c r="J58" s="209"/>
      <c r="K58" s="391">
        <v>0.51</v>
      </c>
      <c r="L58" s="391">
        <v>0.63</v>
      </c>
      <c r="M58" s="209"/>
      <c r="N58" s="209"/>
      <c r="O58" s="209"/>
      <c r="P58" s="209"/>
      <c r="Q58" s="209"/>
      <c r="R58" s="392">
        <v>0.25</v>
      </c>
      <c r="S58" s="207">
        <f>ROUND((K58*H56+1.3*K58*J56+R58*G56),4)</f>
        <v>186.74250000000001</v>
      </c>
      <c r="T58" s="207">
        <f>ROUND((L58*0.9*H56+1.3*L58*0.9*J56+R58*G56),4)</f>
        <v>205.93729999999999</v>
      </c>
      <c r="U58" s="207">
        <f>ROUND((L58*H56+1.3*L58*J56+R58*G56),4)</f>
        <v>227.1525</v>
      </c>
      <c r="V58" s="207">
        <f>ROUND((K58*I56+1.3*K58*M56+R58*F56),4)</f>
        <v>15.27</v>
      </c>
      <c r="W58" s="207">
        <f>ROUND((L58*0.9*I56+1.3*L58*0.9*M56+R58*F56),4)</f>
        <v>16.809000000000001</v>
      </c>
      <c r="X58" s="207">
        <f>ROUND((L58*I56+1.3*L58*M56+R58*F56),4)</f>
        <v>18.510000000000002</v>
      </c>
      <c r="Y58" s="385">
        <f>ROUND((O56*S58*E56*N56/1000000),4)</f>
        <v>3.3599999999999998E-2</v>
      </c>
      <c r="Z58" s="385">
        <f>ROUND((P56*T58*E56*N56/1000000),4)</f>
        <v>9.7000000000000003E-3</v>
      </c>
      <c r="AA58" s="385">
        <f>ROUND((Q56*U58*E56*N56/1000000),4)</f>
        <v>4.4999999999999997E-3</v>
      </c>
      <c r="AB58" s="931" t="s">
        <v>56</v>
      </c>
      <c r="AC58" s="932" t="s">
        <v>57</v>
      </c>
      <c r="AD58" s="933">
        <f>ROUND((((W58*D56)/1800)),4)</f>
        <v>9.2999999999999992E-3</v>
      </c>
      <c r="AE58" s="933">
        <f>ROUND(((Y58+Z58+AA58)),5)</f>
        <v>4.7800000000000002E-2</v>
      </c>
      <c r="AF58" s="61"/>
      <c r="AG58" s="61"/>
      <c r="AH58" s="61"/>
      <c r="AI58" s="61"/>
    </row>
    <row r="59" spans="1:35" s="417" customFormat="1" ht="15" customHeight="1" x14ac:dyDescent="0.2">
      <c r="A59" s="552"/>
      <c r="B59" s="209"/>
      <c r="C59" s="387"/>
      <c r="D59" s="209"/>
      <c r="E59" s="209"/>
      <c r="F59" s="209"/>
      <c r="G59" s="209"/>
      <c r="H59" s="209"/>
      <c r="I59" s="209"/>
      <c r="J59" s="209"/>
      <c r="K59" s="391">
        <v>1.1399999999999999</v>
      </c>
      <c r="L59" s="391">
        <v>1.37</v>
      </c>
      <c r="M59" s="209"/>
      <c r="N59" s="209"/>
      <c r="O59" s="209"/>
      <c r="P59" s="209"/>
      <c r="Q59" s="209"/>
      <c r="R59" s="393">
        <v>0.79</v>
      </c>
      <c r="S59" s="207">
        <f>ROUND((K59*H56+1.3*K59*J56+R59*G56),4)</f>
        <v>431.29500000000002</v>
      </c>
      <c r="T59" s="207">
        <f>ROUND((L59*0.9*H56+1.3*L59*0.9*J56+R59*G56),4)</f>
        <v>462.61279999999999</v>
      </c>
      <c r="U59" s="207">
        <f>ROUND((L59*H56+1.3*L59*J56+R59*G56),4)</f>
        <v>508.7475</v>
      </c>
      <c r="V59" s="207">
        <f>ROUND((K59*I56+1.3*K59*M56+R59*F56),4)</f>
        <v>35.520000000000003</v>
      </c>
      <c r="W59" s="207">
        <f>ROUND((L59*0.9*I56+1.3*L59*0.9*M56+R59*F56),4)</f>
        <v>38.030999999999999</v>
      </c>
      <c r="X59" s="207">
        <f>ROUND((L59*I56+1.3*M56+R59*F56),4)</f>
        <v>36.92</v>
      </c>
      <c r="Y59" s="385">
        <f>ROUND((O56*S59*E56*N56/1000000),4)</f>
        <v>7.7600000000000002E-2</v>
      </c>
      <c r="Z59" s="385">
        <f>ROUND((P56*T59*E56*N56/1000000),4)</f>
        <v>2.1700000000000001E-2</v>
      </c>
      <c r="AA59" s="385">
        <f>ROUND((Q56*U59*E56*N56/1000000),4)</f>
        <v>1.0200000000000001E-2</v>
      </c>
      <c r="AB59" s="931" t="s">
        <v>177</v>
      </c>
      <c r="AC59" s="932" t="s">
        <v>178</v>
      </c>
      <c r="AD59" s="933">
        <f>ROUND((((W59*D56)/1800)),4)</f>
        <v>2.1100000000000001E-2</v>
      </c>
      <c r="AE59" s="933">
        <f>ROUND(((Y59+Z59+AA59)),4)</f>
        <v>0.1095</v>
      </c>
      <c r="AF59" s="61"/>
      <c r="AG59" s="61"/>
      <c r="AH59" s="61"/>
      <c r="AI59" s="61"/>
    </row>
    <row r="60" spans="1:35" s="417" customFormat="1" ht="15" customHeight="1" x14ac:dyDescent="0.2">
      <c r="A60" s="552"/>
      <c r="B60" s="209"/>
      <c r="C60" s="387"/>
      <c r="D60" s="209"/>
      <c r="E60" s="209"/>
      <c r="F60" s="209"/>
      <c r="G60" s="209"/>
      <c r="H60" s="209"/>
      <c r="I60" s="209"/>
      <c r="J60" s="209"/>
      <c r="K60" s="391">
        <v>0.72</v>
      </c>
      <c r="L60" s="391">
        <v>1.08</v>
      </c>
      <c r="M60" s="209"/>
      <c r="N60" s="209"/>
      <c r="O60" s="209"/>
      <c r="P60" s="209"/>
      <c r="Q60" s="209"/>
      <c r="R60" s="393">
        <v>0.17</v>
      </c>
      <c r="S60" s="207">
        <f>ROUND((K60*H56+1.3*K60*J56+R60*G56),4)</f>
        <v>252.66</v>
      </c>
      <c r="T60" s="207">
        <f>ROUND((L60*0.9*H56+1.3*L60*0.9*J56+R60*G56),4)</f>
        <v>337.52100000000002</v>
      </c>
      <c r="U60" s="207">
        <f>ROUND((L60*H56+1.3*L60*J56+R60*G56),4)</f>
        <v>373.89</v>
      </c>
      <c r="V60" s="207">
        <f>ROUND((K60*I56+1.3*K60*M56+R60*F56),4)</f>
        <v>20.46</v>
      </c>
      <c r="W60" s="207">
        <f>ROUND((L60*0.9*I56+1.3*L60*0.9*M56+R60*F56),4)</f>
        <v>27.263999999999999</v>
      </c>
      <c r="X60" s="207">
        <f>ROUND((L60*I56+1.3*L60*M56+R60*F56),4)</f>
        <v>30.18</v>
      </c>
      <c r="Y60" s="385">
        <f>ROUND((O56*S60*E56*N56/1000000),4)</f>
        <v>4.5499999999999999E-2</v>
      </c>
      <c r="Z60" s="385">
        <f>ROUND((P56*T60*E56*N56/1000000),4)</f>
        <v>1.5900000000000001E-2</v>
      </c>
      <c r="AA60" s="385">
        <f>ROUND((Q56*U60*E56*N56/1000000),4)</f>
        <v>7.4999999999999997E-3</v>
      </c>
      <c r="AB60" s="931" t="s">
        <v>61</v>
      </c>
      <c r="AC60" s="932" t="s">
        <v>62</v>
      </c>
      <c r="AD60" s="933">
        <f>ROUND((((W60*D56)/1800)),4)</f>
        <v>1.5100000000000001E-2</v>
      </c>
      <c r="AE60" s="933">
        <f>ROUND(((Y60+Z60+AA60)),4)</f>
        <v>6.8900000000000003E-2</v>
      </c>
      <c r="AF60" s="61"/>
      <c r="AG60" s="61"/>
      <c r="AH60" s="61"/>
      <c r="AI60" s="61"/>
    </row>
    <row r="61" spans="1:35" s="417" customFormat="1" ht="15" customHeight="1" x14ac:dyDescent="0.2">
      <c r="A61" s="553"/>
      <c r="B61" s="210"/>
      <c r="C61" s="214"/>
      <c r="D61" s="210"/>
      <c r="E61" s="210"/>
      <c r="F61" s="210"/>
      <c r="G61" s="210"/>
      <c r="H61" s="210"/>
      <c r="I61" s="210"/>
      <c r="J61" s="210"/>
      <c r="K61" s="391">
        <v>3.37</v>
      </c>
      <c r="L61" s="391">
        <v>4.1100000000000003</v>
      </c>
      <c r="M61" s="210"/>
      <c r="N61" s="210"/>
      <c r="O61" s="210"/>
      <c r="P61" s="210"/>
      <c r="Q61" s="210"/>
      <c r="R61" s="393">
        <v>6.31</v>
      </c>
      <c r="S61" s="207">
        <f>ROUND((K61*H56+1.3*K61*J56+R61*G56),4)</f>
        <v>1513.4475</v>
      </c>
      <c r="T61" s="207">
        <f>ROUND((L61*0.9*H56+1.3*L61*0.9*J56+R61*G56),4)</f>
        <v>1624.2383</v>
      </c>
      <c r="U61" s="207">
        <f>ROUND((L61*H56+1.3*L61*J56+R61*G56),4)</f>
        <v>1762.6424999999999</v>
      </c>
      <c r="V61" s="207">
        <f>ROUND((K61*I56+1.3*K61*M56+R61*F56),4)</f>
        <v>128.85</v>
      </c>
      <c r="W61" s="207">
        <f>ROUND((L61*0.9*I56+1.3*L61*0.9*M56+R61*F56),4)</f>
        <v>137.733</v>
      </c>
      <c r="X61" s="207">
        <f>ROUND((L61*I56+1.3*L61*M56+R61*F56),4)</f>
        <v>148.83000000000001</v>
      </c>
      <c r="Y61" s="385">
        <f>ROUND((O56*S61*E56*N56/1000000),4)</f>
        <v>0.27239999999999998</v>
      </c>
      <c r="Z61" s="385">
        <f>ROUND((P56*T61*E56*N56/1000000),4)</f>
        <v>7.6300000000000007E-2</v>
      </c>
      <c r="AA61" s="385">
        <f>ROUND((Q56*U61*E56*N56/1000000),4)</f>
        <v>3.5299999999999998E-2</v>
      </c>
      <c r="AB61" s="931" t="s">
        <v>65</v>
      </c>
      <c r="AC61" s="932" t="s">
        <v>66</v>
      </c>
      <c r="AD61" s="933">
        <f>ROUND((((W61*D56)/1800)),4)</f>
        <v>7.6499999999999999E-2</v>
      </c>
      <c r="AE61" s="933">
        <f>ROUND(((Y61+Z61+AA61)),4)</f>
        <v>0.38400000000000001</v>
      </c>
      <c r="AF61" s="61">
        <f>SUM(AD56:AD61)</f>
        <v>0.2162</v>
      </c>
      <c r="AG61" s="61">
        <f>SUM(AE56:AE61)</f>
        <v>1.1282000000000001</v>
      </c>
      <c r="AH61" s="61"/>
      <c r="AI61" s="61"/>
    </row>
    <row r="62" spans="1:35" s="417" customFormat="1" ht="15" customHeight="1" x14ac:dyDescent="0.2">
      <c r="A62" s="1449" t="s">
        <v>546</v>
      </c>
      <c r="B62" s="1450"/>
      <c r="C62" s="1451"/>
      <c r="D62" s="1451"/>
      <c r="E62" s="1451"/>
      <c r="F62" s="1451"/>
      <c r="G62" s="1451"/>
      <c r="H62" s="1451"/>
      <c r="I62" s="1451"/>
      <c r="J62" s="1451"/>
      <c r="K62" s="1451"/>
      <c r="L62" s="1451"/>
      <c r="M62" s="1451"/>
      <c r="N62" s="1451"/>
      <c r="O62" s="1451"/>
      <c r="P62" s="1451"/>
      <c r="Q62" s="1451"/>
      <c r="R62" s="1451"/>
      <c r="S62" s="1451"/>
      <c r="T62" s="1451"/>
      <c r="U62" s="1451"/>
      <c r="V62" s="1451"/>
      <c r="W62" s="1451"/>
      <c r="X62" s="1451"/>
      <c r="Y62" s="1451"/>
      <c r="Z62" s="1451"/>
      <c r="AA62" s="1451"/>
      <c r="AB62" s="1451"/>
      <c r="AC62" s="1451"/>
      <c r="AD62" s="1451"/>
      <c r="AE62" s="1452"/>
      <c r="AF62" s="61"/>
      <c r="AG62" s="61"/>
      <c r="AH62" s="61"/>
      <c r="AI62" s="61"/>
    </row>
    <row r="63" spans="1:35" s="417" customFormat="1" ht="15" customHeight="1" x14ac:dyDescent="0.2">
      <c r="A63" s="548" t="s">
        <v>349</v>
      </c>
      <c r="B63" s="746" t="s">
        <v>343</v>
      </c>
      <c r="C63" s="212">
        <v>3</v>
      </c>
      <c r="D63" s="170">
        <v>1</v>
      </c>
      <c r="E63" s="170">
        <v>1</v>
      </c>
      <c r="F63" s="170">
        <v>6</v>
      </c>
      <c r="G63" s="170">
        <v>60</v>
      </c>
      <c r="H63" s="170">
        <f>(8-1-0.75*2)*60*E63-J63-8*0.12*60</f>
        <v>57.900000000000006</v>
      </c>
      <c r="I63" s="170">
        <v>14</v>
      </c>
      <c r="J63" s="170">
        <f>(8-1-0.75*2)*0.65*60*E63</f>
        <v>214.5</v>
      </c>
      <c r="K63" s="170">
        <v>1.49</v>
      </c>
      <c r="L63" s="170">
        <v>1.49</v>
      </c>
      <c r="M63" s="170">
        <v>10</v>
      </c>
      <c r="N63" s="170">
        <f>D63/E63</f>
        <v>1</v>
      </c>
      <c r="O63" s="170">
        <v>180</v>
      </c>
      <c r="P63" s="170">
        <v>47</v>
      </c>
      <c r="Q63" s="211">
        <v>20</v>
      </c>
      <c r="R63" s="170">
        <v>0.28999999999999998</v>
      </c>
      <c r="S63" s="207">
        <f>ROUND((K63*H63+1.3*K63*J63+R63*G63),4)</f>
        <v>519.15750000000003</v>
      </c>
      <c r="T63" s="207">
        <f>ROUND((L63*H63+1.3*L63*J63+R63*G63),4)</f>
        <v>519.15750000000003</v>
      </c>
      <c r="U63" s="207">
        <f>ROUND((L63*H63+1.3*L63*J63+R63*G63),4)</f>
        <v>519.15750000000003</v>
      </c>
      <c r="V63" s="207">
        <f>ROUND((K63*I63+1.3*K63*M63+R63*F63),4)</f>
        <v>41.97</v>
      </c>
      <c r="W63" s="207">
        <f>ROUND((L63*I63+1.3*L63*M63+R63*F63),4)</f>
        <v>41.97</v>
      </c>
      <c r="X63" s="207">
        <f>ROUND((L63*I63+1.3*L63*M63+R63*F63),4)</f>
        <v>41.97</v>
      </c>
      <c r="Y63" s="385">
        <f>ROUND((O63*S63*E63*N63/1000000),4)</f>
        <v>9.3399999999999997E-2</v>
      </c>
      <c r="Z63" s="385">
        <f>ROUND((P63*T63*E63*N63/1000000),4)</f>
        <v>2.4400000000000002E-2</v>
      </c>
      <c r="AA63" s="385">
        <f>ROUND((Q63*U63*E63*N63/1000000),4)</f>
        <v>1.04E-2</v>
      </c>
      <c r="AB63" s="931" t="s">
        <v>48</v>
      </c>
      <c r="AC63" s="932" t="s">
        <v>49</v>
      </c>
      <c r="AD63" s="933">
        <f>ROUND((((W63*D63)/1800)*0.8),4)</f>
        <v>1.8700000000000001E-2</v>
      </c>
      <c r="AE63" s="933">
        <f>ROUND(((Y63+Z63+AA63)*0.8),4)</f>
        <v>0.1026</v>
      </c>
      <c r="AF63" s="61"/>
      <c r="AG63" s="61"/>
      <c r="AH63" s="61"/>
      <c r="AI63" s="61"/>
    </row>
    <row r="64" spans="1:35" s="417" customFormat="1" ht="15" customHeight="1" x14ac:dyDescent="0.2">
      <c r="A64" s="549"/>
      <c r="B64" s="386" t="s">
        <v>344</v>
      </c>
      <c r="C64" s="387"/>
      <c r="D64" s="209"/>
      <c r="E64" s="209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388"/>
      <c r="S64" s="215"/>
      <c r="T64" s="215"/>
      <c r="U64" s="215"/>
      <c r="V64" s="215"/>
      <c r="W64" s="215"/>
      <c r="X64" s="215"/>
      <c r="Y64" s="215"/>
      <c r="Z64" s="215"/>
      <c r="AA64" s="215"/>
      <c r="AB64" s="931" t="s">
        <v>51</v>
      </c>
      <c r="AC64" s="932" t="s">
        <v>52</v>
      </c>
      <c r="AD64" s="933">
        <f>ROUND((((W63*D63)/1800)*0.13),4)</f>
        <v>3.0000000000000001E-3</v>
      </c>
      <c r="AE64" s="933">
        <f>ROUND(((Y63+Z63+AA63)*0.13),4)</f>
        <v>1.67E-2</v>
      </c>
      <c r="AF64" s="61"/>
      <c r="AG64" s="61"/>
      <c r="AH64" s="61"/>
      <c r="AI64" s="61"/>
    </row>
    <row r="65" spans="1:35" s="417" customFormat="1" ht="15" customHeight="1" x14ac:dyDescent="0.2">
      <c r="A65" s="554"/>
      <c r="B65" s="209" t="s">
        <v>342</v>
      </c>
      <c r="C65" s="389"/>
      <c r="D65" s="209"/>
      <c r="E65" s="209"/>
      <c r="F65" s="209"/>
      <c r="G65" s="209"/>
      <c r="H65" s="209"/>
      <c r="I65" s="209"/>
      <c r="J65" s="209"/>
      <c r="K65" s="209">
        <v>0.12</v>
      </c>
      <c r="L65" s="209">
        <v>0.15</v>
      </c>
      <c r="M65" s="209"/>
      <c r="N65" s="209"/>
      <c r="O65" s="209"/>
      <c r="P65" s="209"/>
      <c r="Q65" s="209"/>
      <c r="R65" s="133">
        <v>5.8000000000000003E-2</v>
      </c>
      <c r="S65" s="207">
        <f>ROUND((K65*H63+1.3*K65*J63+R65*G63),4)</f>
        <v>43.89</v>
      </c>
      <c r="T65" s="207">
        <f>ROUND((L65*0.9*H63+1.3*L65*0.9*J63+R65*G63),4)</f>
        <v>48.941299999999998</v>
      </c>
      <c r="U65" s="207">
        <f>ROUND((L65*H63+1.3*L65*J63+R65*G63),4)</f>
        <v>53.9925</v>
      </c>
      <c r="V65" s="207">
        <f>ROUND((K65*I63+1.3*K65*M63+R65*F63),4)</f>
        <v>3.5880000000000001</v>
      </c>
      <c r="W65" s="207">
        <f>ROUND((L65*0.9*I63+1.3*L65*0.9*M63+R65*F63),4)</f>
        <v>3.9929999999999999</v>
      </c>
      <c r="X65" s="207">
        <f>ROUND((L65*I63+1.3*L65*M63+R65*F63),4)</f>
        <v>4.3979999999999997</v>
      </c>
      <c r="Y65" s="385">
        <f>ROUND((O63*S65*E63*N63/1000000),4)</f>
        <v>7.9000000000000008E-3</v>
      </c>
      <c r="Z65" s="385">
        <f>ROUND((P63*T65*E63*N63/1000000),4)</f>
        <v>2.3E-3</v>
      </c>
      <c r="AA65" s="385">
        <f>ROUND((Q63*U65*E63*N63/1000000),4)</f>
        <v>1.1000000000000001E-3</v>
      </c>
      <c r="AB65" s="931" t="s">
        <v>56</v>
      </c>
      <c r="AC65" s="932" t="s">
        <v>57</v>
      </c>
      <c r="AD65" s="933">
        <f>ROUND((((W65*D63)/1800)),4)</f>
        <v>2.2000000000000001E-3</v>
      </c>
      <c r="AE65" s="933">
        <f>ROUND(((Y65+Z65+AA65)),5)</f>
        <v>1.1299999999999999E-2</v>
      </c>
      <c r="AF65" s="61"/>
      <c r="AG65" s="61"/>
      <c r="AH65" s="61"/>
      <c r="AI65" s="61"/>
    </row>
    <row r="66" spans="1:35" s="417" customFormat="1" ht="15" customHeight="1" x14ac:dyDescent="0.2">
      <c r="A66" s="554"/>
      <c r="B66" s="209"/>
      <c r="C66" s="387"/>
      <c r="D66" s="209"/>
      <c r="E66" s="209"/>
      <c r="F66" s="209"/>
      <c r="G66" s="209"/>
      <c r="H66" s="209"/>
      <c r="I66" s="209"/>
      <c r="J66" s="209"/>
      <c r="K66" s="209">
        <v>0.26</v>
      </c>
      <c r="L66" s="209">
        <v>0.31</v>
      </c>
      <c r="M66" s="209"/>
      <c r="N66" s="209"/>
      <c r="O66" s="209"/>
      <c r="P66" s="209"/>
      <c r="Q66" s="209"/>
      <c r="R66" s="133">
        <v>0.18</v>
      </c>
      <c r="S66" s="207">
        <f>ROUND((K66*H63+1.3*K66*J63+R66*G63),4)</f>
        <v>98.355000000000004</v>
      </c>
      <c r="T66" s="207">
        <f>ROUND((L66*0.9*H63+1.3*L66*0.9*J63+R66*G63),4)</f>
        <v>104.7533</v>
      </c>
      <c r="U66" s="207">
        <f>ROUND((L66*H63+1.3*L66*J63+R66*G63),4)</f>
        <v>115.1925</v>
      </c>
      <c r="V66" s="207">
        <f>ROUND((K66*I63+1.3*K66*M63+R66*F63),4)</f>
        <v>8.1</v>
      </c>
      <c r="W66" s="207">
        <f>ROUND((L66*0.9*I63+1.3*L66*0.9*M63+R66*F63),4)</f>
        <v>8.6129999999999995</v>
      </c>
      <c r="X66" s="207">
        <f>ROUND((L66*I63+1.3*M63+R66*F63),4)</f>
        <v>18.420000000000002</v>
      </c>
      <c r="Y66" s="385">
        <f>ROUND((O63*S66*E63*N63/1000000),4)</f>
        <v>1.77E-2</v>
      </c>
      <c r="Z66" s="385">
        <f>ROUND((P63*T66*E63*N63/1000000),4)</f>
        <v>4.8999999999999998E-3</v>
      </c>
      <c r="AA66" s="385">
        <f>ROUND((Q63*U66*E63*N63/1000000),4)</f>
        <v>2.3E-3</v>
      </c>
      <c r="AB66" s="931" t="s">
        <v>177</v>
      </c>
      <c r="AC66" s="932" t="s">
        <v>178</v>
      </c>
      <c r="AD66" s="933">
        <f>ROUND((((W66*D63)/1800)),4)</f>
        <v>4.7999999999999996E-3</v>
      </c>
      <c r="AE66" s="933">
        <f>ROUND(((Y66+Z66+AA66)),4)</f>
        <v>2.4899999999999999E-2</v>
      </c>
      <c r="AF66" s="61"/>
      <c r="AG66" s="61"/>
      <c r="AH66" s="61"/>
      <c r="AI66" s="61"/>
    </row>
    <row r="67" spans="1:35" s="417" customFormat="1" ht="15" customHeight="1" x14ac:dyDescent="0.2">
      <c r="A67" s="554"/>
      <c r="B67" s="209"/>
      <c r="C67" s="387"/>
      <c r="D67" s="209"/>
      <c r="E67" s="209"/>
      <c r="F67" s="209"/>
      <c r="G67" s="209"/>
      <c r="H67" s="209"/>
      <c r="I67" s="209"/>
      <c r="J67" s="209"/>
      <c r="K67" s="209">
        <v>0.17</v>
      </c>
      <c r="L67" s="209">
        <v>0.25</v>
      </c>
      <c r="M67" s="209"/>
      <c r="N67" s="209"/>
      <c r="O67" s="209"/>
      <c r="P67" s="209"/>
      <c r="Q67" s="209"/>
      <c r="R67" s="133">
        <v>0.04</v>
      </c>
      <c r="S67" s="207">
        <f>ROUND((K67*H63+1.3*K67*J63+R67*G63),4)</f>
        <v>59.647500000000001</v>
      </c>
      <c r="T67" s="207">
        <f>ROUND((L67*0.9*H63+1.3*L67*0.9*J63+R67*G63),4)</f>
        <v>78.168800000000005</v>
      </c>
      <c r="U67" s="207">
        <f>ROUND((L67*H63+1.3*L67*J63+R67*G63),4)</f>
        <v>86.587500000000006</v>
      </c>
      <c r="V67" s="207">
        <f>ROUND((K67*I63+1.3*K67*M63+R67*F63),4)</f>
        <v>4.83</v>
      </c>
      <c r="W67" s="207">
        <f>ROUND((L67*0.9*I63+1.3*L67*0.9*M63+R67*F63),4)</f>
        <v>6.3150000000000004</v>
      </c>
      <c r="X67" s="207">
        <f>ROUND((L67*I63+1.3*L67*M63+R67*F63),4)</f>
        <v>6.99</v>
      </c>
      <c r="Y67" s="385">
        <f>ROUND((O63*S67*E63*N63/1000000),4)</f>
        <v>1.0699999999999999E-2</v>
      </c>
      <c r="Z67" s="385">
        <f>ROUND((P63*T67*E63*N63/1000000),4)</f>
        <v>3.7000000000000002E-3</v>
      </c>
      <c r="AA67" s="385">
        <f>ROUND((Q63*U67*E63*N63/1000000),4)</f>
        <v>1.6999999999999999E-3</v>
      </c>
      <c r="AB67" s="931" t="s">
        <v>61</v>
      </c>
      <c r="AC67" s="932" t="s">
        <v>62</v>
      </c>
      <c r="AD67" s="933">
        <f>ROUND((((W67*D63)/1800)),4)</f>
        <v>3.5000000000000001E-3</v>
      </c>
      <c r="AE67" s="933">
        <f>ROUND(((Y67+Z67+AA67)),4)</f>
        <v>1.61E-2</v>
      </c>
      <c r="AF67" s="61"/>
      <c r="AG67" s="61"/>
      <c r="AH67" s="61"/>
      <c r="AI67" s="61"/>
    </row>
    <row r="68" spans="1:35" s="417" customFormat="1" ht="15" customHeight="1" x14ac:dyDescent="0.2">
      <c r="A68" s="555"/>
      <c r="B68" s="210"/>
      <c r="C68" s="214"/>
      <c r="D68" s="210"/>
      <c r="E68" s="210"/>
      <c r="F68" s="210"/>
      <c r="G68" s="210"/>
      <c r="H68" s="210"/>
      <c r="I68" s="210"/>
      <c r="J68" s="210"/>
      <c r="K68" s="210">
        <v>0.77</v>
      </c>
      <c r="L68" s="210">
        <v>0.94</v>
      </c>
      <c r="M68" s="210"/>
      <c r="N68" s="210"/>
      <c r="O68" s="210"/>
      <c r="P68" s="210"/>
      <c r="Q68" s="210"/>
      <c r="R68" s="133">
        <v>1.44</v>
      </c>
      <c r="S68" s="134">
        <f>ROUND((K68*H63+1.3*K68*J63+R68*G63),4)</f>
        <v>345.69749999999999</v>
      </c>
      <c r="T68" s="134">
        <f>ROUND((L68*0.9*H63+1.3*L68*0.9*J63+R68*G63),4)</f>
        <v>371.29050000000001</v>
      </c>
      <c r="U68" s="134">
        <f>ROUND((L68*H63+1.3*L68*J63+R68*G63),4)</f>
        <v>402.94499999999999</v>
      </c>
      <c r="V68" s="134">
        <f>ROUND((K68*I63+1.3*K68*M63+R68*F63),4)</f>
        <v>29.43</v>
      </c>
      <c r="W68" s="134">
        <f>ROUND((L68*0.9*I63+1.3*L68*0.9*M63+R68*F63),4)</f>
        <v>31.481999999999999</v>
      </c>
      <c r="X68" s="134">
        <f>ROUND((L68*I63+1.3*L68*M63+R68*F63),4)</f>
        <v>34.020000000000003</v>
      </c>
      <c r="Y68" s="394">
        <f>ROUND((O63*S68*E63*N63/1000000),4)</f>
        <v>6.2199999999999998E-2</v>
      </c>
      <c r="Z68" s="394">
        <f>ROUND((P63*T68*E63*N63/1000000),4)</f>
        <v>1.7500000000000002E-2</v>
      </c>
      <c r="AA68" s="394">
        <f>ROUND((Q63*U68*E63*N63/1000000),4)</f>
        <v>8.0999999999999996E-3</v>
      </c>
      <c r="AB68" s="931" t="s">
        <v>65</v>
      </c>
      <c r="AC68" s="932" t="s">
        <v>66</v>
      </c>
      <c r="AD68" s="933">
        <f>ROUND((((W68*D63)/1800)),4)</f>
        <v>1.7500000000000002E-2</v>
      </c>
      <c r="AE68" s="933">
        <f>ROUND(((Y68+Z68+AA68)),4)</f>
        <v>8.7800000000000003E-2</v>
      </c>
      <c r="AF68" s="61">
        <f>SUM(AD63:AD68)</f>
        <v>4.9700000000000001E-2</v>
      </c>
      <c r="AG68" s="61">
        <f>SUM(AE63:AE68)</f>
        <v>0.25940000000000002</v>
      </c>
      <c r="AH68" s="61"/>
      <c r="AI68" s="61"/>
    </row>
    <row r="69" spans="1:35" s="417" customFormat="1" ht="15" customHeight="1" x14ac:dyDescent="0.2">
      <c r="A69" s="1449" t="s">
        <v>547</v>
      </c>
      <c r="B69" s="1450"/>
      <c r="C69" s="1451"/>
      <c r="D69" s="1451"/>
      <c r="E69" s="1451"/>
      <c r="F69" s="1451"/>
      <c r="G69" s="1451"/>
      <c r="H69" s="1451"/>
      <c r="I69" s="1451"/>
      <c r="J69" s="1451"/>
      <c r="K69" s="1451"/>
      <c r="L69" s="1451"/>
      <c r="M69" s="1451"/>
      <c r="N69" s="1451"/>
      <c r="O69" s="1451"/>
      <c r="P69" s="1451"/>
      <c r="Q69" s="1451"/>
      <c r="R69" s="1451"/>
      <c r="S69" s="1451"/>
      <c r="T69" s="1451"/>
      <c r="U69" s="1451"/>
      <c r="V69" s="1451"/>
      <c r="W69" s="1451"/>
      <c r="X69" s="1451"/>
      <c r="Y69" s="1451"/>
      <c r="Z69" s="1451"/>
      <c r="AA69" s="1451"/>
      <c r="AB69" s="1451"/>
      <c r="AC69" s="1451"/>
      <c r="AD69" s="1451"/>
      <c r="AE69" s="1452"/>
      <c r="AF69" s="61"/>
      <c r="AG69" s="61"/>
      <c r="AH69" s="61"/>
      <c r="AI69" s="61"/>
    </row>
    <row r="70" spans="1:35" s="417" customFormat="1" ht="15" customHeight="1" x14ac:dyDescent="0.2">
      <c r="A70" s="548" t="s">
        <v>350</v>
      </c>
      <c r="B70" s="384" t="s">
        <v>343</v>
      </c>
      <c r="C70" s="212">
        <v>3</v>
      </c>
      <c r="D70" s="170">
        <v>1</v>
      </c>
      <c r="E70" s="170">
        <v>1</v>
      </c>
      <c r="F70" s="170">
        <v>6</v>
      </c>
      <c r="G70" s="170">
        <v>60</v>
      </c>
      <c r="H70" s="170">
        <f>(8-1-0.75*2)*60*E70-J70-8*0.12*60</f>
        <v>57.900000000000006</v>
      </c>
      <c r="I70" s="170">
        <v>14</v>
      </c>
      <c r="J70" s="170">
        <f>(8-1-0.75*2)*0.65*60*E70</f>
        <v>214.5</v>
      </c>
      <c r="K70" s="170">
        <v>1.49</v>
      </c>
      <c r="L70" s="170">
        <v>1.49</v>
      </c>
      <c r="M70" s="170">
        <v>10</v>
      </c>
      <c r="N70" s="170">
        <f>D70/E70</f>
        <v>1</v>
      </c>
      <c r="O70" s="170">
        <v>180</v>
      </c>
      <c r="P70" s="170">
        <v>47</v>
      </c>
      <c r="Q70" s="211">
        <v>20</v>
      </c>
      <c r="R70" s="170">
        <v>0.28999999999999998</v>
      </c>
      <c r="S70" s="207">
        <f>ROUND((K70*H70+1.3*K70*J70+R70*G70),4)</f>
        <v>519.15750000000003</v>
      </c>
      <c r="T70" s="207">
        <f>ROUND((L70*H70+1.3*L70*J70+R70*G70),4)</f>
        <v>519.15750000000003</v>
      </c>
      <c r="U70" s="207">
        <f>ROUND((L70*H70+1.3*L70*J70+R70*G70),4)</f>
        <v>519.15750000000003</v>
      </c>
      <c r="V70" s="207">
        <f>ROUND((K70*I70+1.3*K70*M70+R70*F70),4)</f>
        <v>41.97</v>
      </c>
      <c r="W70" s="207">
        <f>ROUND((L70*I70+1.3*L70*M70+R70*F70),4)</f>
        <v>41.97</v>
      </c>
      <c r="X70" s="207">
        <f>ROUND((L70*I70+1.3*L70*M70+R70*F70),4)</f>
        <v>41.97</v>
      </c>
      <c r="Y70" s="385">
        <f>ROUND((O70*S70*E70*N70/1000000),4)</f>
        <v>9.3399999999999997E-2</v>
      </c>
      <c r="Z70" s="385">
        <f>ROUND((P70*T70*E70*N70/1000000),4)</f>
        <v>2.4400000000000002E-2</v>
      </c>
      <c r="AA70" s="385">
        <f>ROUND((Q70*U70*E70*N70/1000000),4)</f>
        <v>1.04E-2</v>
      </c>
      <c r="AB70" s="931" t="s">
        <v>48</v>
      </c>
      <c r="AC70" s="932" t="s">
        <v>49</v>
      </c>
      <c r="AD70" s="933">
        <f>ROUND((((W70*D70)/1800)*0.8),4)</f>
        <v>1.8700000000000001E-2</v>
      </c>
      <c r="AE70" s="933">
        <f>ROUND(((Y70+Z70+AA70)*0.8),4)</f>
        <v>0.1026</v>
      </c>
      <c r="AF70" s="61"/>
      <c r="AG70" s="61"/>
      <c r="AH70" s="61"/>
      <c r="AI70" s="61"/>
    </row>
    <row r="71" spans="1:35" s="417" customFormat="1" ht="15" customHeight="1" x14ac:dyDescent="0.2">
      <c r="A71" s="549" t="s">
        <v>166</v>
      </c>
      <c r="B71" s="386" t="s">
        <v>344</v>
      </c>
      <c r="C71" s="387"/>
      <c r="D71" s="209"/>
      <c r="E71" s="209"/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388"/>
      <c r="S71" s="215"/>
      <c r="T71" s="215"/>
      <c r="U71" s="215"/>
      <c r="V71" s="215"/>
      <c r="W71" s="215"/>
      <c r="X71" s="215"/>
      <c r="Y71" s="215"/>
      <c r="Z71" s="215"/>
      <c r="AA71" s="215"/>
      <c r="AB71" s="931" t="s">
        <v>51</v>
      </c>
      <c r="AC71" s="932" t="s">
        <v>52</v>
      </c>
      <c r="AD71" s="933">
        <f>ROUND((((W70*D70)/1800)*0.13),4)</f>
        <v>3.0000000000000001E-3</v>
      </c>
      <c r="AE71" s="933">
        <f>ROUND(((Y70+Z70+AA70)*0.13),4)</f>
        <v>1.67E-2</v>
      </c>
      <c r="AF71" s="61"/>
      <c r="AG71" s="61"/>
      <c r="AH71" s="61"/>
      <c r="AI71" s="61"/>
    </row>
    <row r="72" spans="1:35" s="417" customFormat="1" ht="15" customHeight="1" x14ac:dyDescent="0.2">
      <c r="A72" s="554"/>
      <c r="B72" s="209" t="s">
        <v>342</v>
      </c>
      <c r="C72" s="389"/>
      <c r="D72" s="209"/>
      <c r="E72" s="209"/>
      <c r="F72" s="209"/>
      <c r="G72" s="209"/>
      <c r="H72" s="209"/>
      <c r="I72" s="209"/>
      <c r="J72" s="209"/>
      <c r="K72" s="209">
        <v>0.12</v>
      </c>
      <c r="L72" s="209">
        <v>0.15</v>
      </c>
      <c r="M72" s="209"/>
      <c r="N72" s="209"/>
      <c r="O72" s="209"/>
      <c r="P72" s="209"/>
      <c r="Q72" s="209"/>
      <c r="R72" s="133">
        <v>5.8000000000000003E-2</v>
      </c>
      <c r="S72" s="207">
        <f>ROUND((K72*H70+1.3*K72*J70+R72*G70),4)</f>
        <v>43.89</v>
      </c>
      <c r="T72" s="207">
        <f>ROUND((L72*0.9*H70+1.3*L72*0.9*J70+R72*G70),4)</f>
        <v>48.941299999999998</v>
      </c>
      <c r="U72" s="207">
        <f>ROUND((L72*H70+1.3*L72*J70+R72*G70),4)</f>
        <v>53.9925</v>
      </c>
      <c r="V72" s="207">
        <f>ROUND((K72*I70+1.3*K72*M70+R72*F70),4)</f>
        <v>3.5880000000000001</v>
      </c>
      <c r="W72" s="207">
        <f>ROUND((L72*0.9*I70+1.3*L72*0.9*M70+R72*F70),4)</f>
        <v>3.9929999999999999</v>
      </c>
      <c r="X72" s="207">
        <f>ROUND((L72*I70+1.3*L72*M70+R72*F70),4)</f>
        <v>4.3979999999999997</v>
      </c>
      <c r="Y72" s="385">
        <f>ROUND((O70*S72*E70*N70/1000000),4)</f>
        <v>7.9000000000000008E-3</v>
      </c>
      <c r="Z72" s="385">
        <f>ROUND((P70*T72*E70*N70/1000000),4)</f>
        <v>2.3E-3</v>
      </c>
      <c r="AA72" s="385">
        <f>ROUND((Q70*U72*E70*N70/1000000),4)</f>
        <v>1.1000000000000001E-3</v>
      </c>
      <c r="AB72" s="931" t="s">
        <v>56</v>
      </c>
      <c r="AC72" s="932" t="s">
        <v>57</v>
      </c>
      <c r="AD72" s="933">
        <f>ROUND((((W72*D70)/1800)),4)</f>
        <v>2.2000000000000001E-3</v>
      </c>
      <c r="AE72" s="933">
        <f>ROUND(((Y72+Z72+AA72)),5)</f>
        <v>1.1299999999999999E-2</v>
      </c>
      <c r="AF72" s="61"/>
      <c r="AG72" s="61"/>
      <c r="AH72" s="61"/>
      <c r="AI72" s="61"/>
    </row>
    <row r="73" spans="1:35" s="417" customFormat="1" ht="15" customHeight="1" x14ac:dyDescent="0.2">
      <c r="A73" s="554"/>
      <c r="B73" s="209"/>
      <c r="C73" s="387"/>
      <c r="D73" s="209"/>
      <c r="E73" s="209"/>
      <c r="F73" s="209"/>
      <c r="G73" s="209"/>
      <c r="H73" s="209"/>
      <c r="I73" s="209"/>
      <c r="J73" s="209"/>
      <c r="K73" s="209">
        <v>0.26</v>
      </c>
      <c r="L73" s="209">
        <v>0.31</v>
      </c>
      <c r="M73" s="209"/>
      <c r="N73" s="209"/>
      <c r="O73" s="209"/>
      <c r="P73" s="209"/>
      <c r="Q73" s="209"/>
      <c r="R73" s="133">
        <v>0.18</v>
      </c>
      <c r="S73" s="207">
        <f>ROUND((K73*H70+1.3*K73*J70+R73*G70),4)</f>
        <v>98.355000000000004</v>
      </c>
      <c r="T73" s="207">
        <f>ROUND((L73*0.9*H70+1.3*L73*0.9*J70+R73*G70),4)</f>
        <v>104.7533</v>
      </c>
      <c r="U73" s="207">
        <f>ROUND((L73*H70+1.3*L73*J70+R73*G70),4)</f>
        <v>115.1925</v>
      </c>
      <c r="V73" s="207">
        <f>ROUND((K73*I70+1.3*K73*M70+R73*F70),4)</f>
        <v>8.1</v>
      </c>
      <c r="W73" s="207">
        <f>ROUND((L73*0.9*I70+1.3*L73*0.9*M70+R73*F70),4)</f>
        <v>8.6129999999999995</v>
      </c>
      <c r="X73" s="207">
        <f>ROUND((L73*I70+1.3*M70+R73*F70),4)</f>
        <v>18.420000000000002</v>
      </c>
      <c r="Y73" s="385">
        <f>ROUND((O70*S73*E70*N70/1000000),4)</f>
        <v>1.77E-2</v>
      </c>
      <c r="Z73" s="385">
        <f>ROUND((P70*T73*E70*N70/1000000),4)</f>
        <v>4.8999999999999998E-3</v>
      </c>
      <c r="AA73" s="385">
        <f>ROUND((Q70*U73*E70*N70/1000000),4)</f>
        <v>2.3E-3</v>
      </c>
      <c r="AB73" s="931" t="s">
        <v>177</v>
      </c>
      <c r="AC73" s="932" t="s">
        <v>178</v>
      </c>
      <c r="AD73" s="933">
        <f>ROUND((((W73*D70)/1800)),4)</f>
        <v>4.7999999999999996E-3</v>
      </c>
      <c r="AE73" s="933">
        <f>ROUND(((Y73+Z73+AA73)),4)</f>
        <v>2.4899999999999999E-2</v>
      </c>
      <c r="AF73" s="61"/>
      <c r="AG73" s="61"/>
      <c r="AH73" s="61"/>
      <c r="AI73" s="61"/>
    </row>
    <row r="74" spans="1:35" s="417" customFormat="1" ht="15" customHeight="1" x14ac:dyDescent="0.2">
      <c r="A74" s="554"/>
      <c r="B74" s="209"/>
      <c r="C74" s="387"/>
      <c r="D74" s="209"/>
      <c r="E74" s="209"/>
      <c r="F74" s="209"/>
      <c r="G74" s="209"/>
      <c r="H74" s="209"/>
      <c r="I74" s="209"/>
      <c r="J74" s="209"/>
      <c r="K74" s="209">
        <v>0.17</v>
      </c>
      <c r="L74" s="209">
        <v>0.25</v>
      </c>
      <c r="M74" s="209"/>
      <c r="N74" s="209"/>
      <c r="O74" s="209"/>
      <c r="P74" s="209"/>
      <c r="Q74" s="209"/>
      <c r="R74" s="133">
        <v>0.04</v>
      </c>
      <c r="S74" s="207">
        <f>ROUND((K74*H70+1.3*K74*J70+R74*G70),4)</f>
        <v>59.647500000000001</v>
      </c>
      <c r="T74" s="207">
        <f>ROUND((L74*0.9*H70+1.3*L74*0.9*J70+R74*G70),4)</f>
        <v>78.168800000000005</v>
      </c>
      <c r="U74" s="207">
        <f>ROUND((L74*H70+1.3*L74*J70+R74*G70),4)</f>
        <v>86.587500000000006</v>
      </c>
      <c r="V74" s="207">
        <f>ROUND((K74*I70+1.3*K74*M70+R74*F70),4)</f>
        <v>4.83</v>
      </c>
      <c r="W74" s="207">
        <f>ROUND((L74*0.9*I70+1.3*L74*0.9*M70+R74*F70),4)</f>
        <v>6.3150000000000004</v>
      </c>
      <c r="X74" s="207">
        <f>ROUND((L74*I70+1.3*L74*M70+R74*F70),4)</f>
        <v>6.99</v>
      </c>
      <c r="Y74" s="385">
        <f>ROUND((O70*S74*E70*N70/1000000),4)</f>
        <v>1.0699999999999999E-2</v>
      </c>
      <c r="Z74" s="385">
        <f>ROUND((P70*T74*E70*N70/1000000),4)</f>
        <v>3.7000000000000002E-3</v>
      </c>
      <c r="AA74" s="385">
        <f>ROUND((Q70*U74*E70*N70/1000000),4)</f>
        <v>1.6999999999999999E-3</v>
      </c>
      <c r="AB74" s="931" t="s">
        <v>61</v>
      </c>
      <c r="AC74" s="932" t="s">
        <v>62</v>
      </c>
      <c r="AD74" s="933">
        <f>ROUND((((W74*D70)/1800)),4)</f>
        <v>3.5000000000000001E-3</v>
      </c>
      <c r="AE74" s="933">
        <f>ROUND(((Y74+Z74+AA74)),4)</f>
        <v>1.61E-2</v>
      </c>
      <c r="AF74" s="61"/>
      <c r="AG74" s="61"/>
      <c r="AH74" s="61"/>
      <c r="AI74" s="61"/>
    </row>
    <row r="75" spans="1:35" s="417" customFormat="1" ht="15" customHeight="1" x14ac:dyDescent="0.2">
      <c r="A75" s="555"/>
      <c r="B75" s="210"/>
      <c r="C75" s="214"/>
      <c r="D75" s="210"/>
      <c r="E75" s="210"/>
      <c r="F75" s="210"/>
      <c r="G75" s="210"/>
      <c r="H75" s="210"/>
      <c r="I75" s="210"/>
      <c r="J75" s="210"/>
      <c r="K75" s="210">
        <v>0.77</v>
      </c>
      <c r="L75" s="210">
        <v>0.94</v>
      </c>
      <c r="M75" s="210"/>
      <c r="N75" s="210"/>
      <c r="O75" s="210"/>
      <c r="P75" s="210"/>
      <c r="Q75" s="210"/>
      <c r="R75" s="133">
        <v>1.44</v>
      </c>
      <c r="S75" s="134">
        <f>ROUND((K75*H70+1.3*K75*J70+R75*G70),4)</f>
        <v>345.69749999999999</v>
      </c>
      <c r="T75" s="134">
        <f>ROUND((L75*0.9*H70+1.3*L75*0.9*J70+R75*G70),4)</f>
        <v>371.29050000000001</v>
      </c>
      <c r="U75" s="134">
        <f>ROUND((L75*H70+1.3*L75*J70+R75*G70),4)</f>
        <v>402.94499999999999</v>
      </c>
      <c r="V75" s="134">
        <f>ROUND((K75*I70+1.3*K75*M70+R75*F70),4)</f>
        <v>29.43</v>
      </c>
      <c r="W75" s="134">
        <f>ROUND((L75*0.9*I70+1.3*L75*0.9*M70+R75*F70),4)</f>
        <v>31.481999999999999</v>
      </c>
      <c r="X75" s="134">
        <f>ROUND((L75*I70+1.3*L75*M70+R75*F70),4)</f>
        <v>34.020000000000003</v>
      </c>
      <c r="Y75" s="394">
        <f>ROUND((O70*S75*E70*N70/1000000),4)</f>
        <v>6.2199999999999998E-2</v>
      </c>
      <c r="Z75" s="394">
        <f>ROUND((P70*T75*E70*N70/1000000),4)</f>
        <v>1.7500000000000002E-2</v>
      </c>
      <c r="AA75" s="394">
        <f>ROUND((Q70*U75*E70*N70/1000000),4)</f>
        <v>8.0999999999999996E-3</v>
      </c>
      <c r="AB75" s="931" t="s">
        <v>65</v>
      </c>
      <c r="AC75" s="932" t="s">
        <v>66</v>
      </c>
      <c r="AD75" s="933">
        <f>ROUND((((W75*D70)/1800)),4)</f>
        <v>1.7500000000000002E-2</v>
      </c>
      <c r="AE75" s="933">
        <f>ROUND(((Y75+Z75+AA75)),4)</f>
        <v>8.7800000000000003E-2</v>
      </c>
      <c r="AF75" s="61">
        <f>SUM(AD70:AD75)</f>
        <v>4.9700000000000001E-2</v>
      </c>
      <c r="AG75" s="61">
        <f>SUM(AE70:AE75)</f>
        <v>0.25940000000000002</v>
      </c>
      <c r="AH75" s="61"/>
      <c r="AI75" s="61"/>
    </row>
    <row r="76" spans="1:35" s="417" customFormat="1" ht="15" customHeight="1" x14ac:dyDescent="0.2">
      <c r="A76" s="1449" t="s">
        <v>351</v>
      </c>
      <c r="B76" s="1450"/>
      <c r="C76" s="1451"/>
      <c r="D76" s="1451"/>
      <c r="E76" s="1451"/>
      <c r="F76" s="1451"/>
      <c r="G76" s="1451"/>
      <c r="H76" s="1451"/>
      <c r="I76" s="1451"/>
      <c r="J76" s="1451"/>
      <c r="K76" s="1451"/>
      <c r="L76" s="1451"/>
      <c r="M76" s="1451"/>
      <c r="N76" s="1451"/>
      <c r="O76" s="1451"/>
      <c r="P76" s="1451"/>
      <c r="Q76" s="1451"/>
      <c r="R76" s="1451"/>
      <c r="S76" s="1451"/>
      <c r="T76" s="1451"/>
      <c r="U76" s="1451"/>
      <c r="V76" s="1451"/>
      <c r="W76" s="1451"/>
      <c r="X76" s="1451"/>
      <c r="Y76" s="1451"/>
      <c r="Z76" s="1451"/>
      <c r="AA76" s="1451"/>
      <c r="AB76" s="1451"/>
      <c r="AC76" s="1451"/>
      <c r="AD76" s="1451"/>
      <c r="AE76" s="1452"/>
      <c r="AF76" s="61"/>
      <c r="AG76" s="61"/>
      <c r="AH76" s="61"/>
      <c r="AI76" s="61"/>
    </row>
    <row r="77" spans="1:35" s="417" customFormat="1" ht="15" customHeight="1" x14ac:dyDescent="0.2">
      <c r="A77" s="551" t="s">
        <v>352</v>
      </c>
      <c r="B77" s="390" t="s">
        <v>322</v>
      </c>
      <c r="C77" s="212">
        <v>6</v>
      </c>
      <c r="D77" s="170">
        <v>1</v>
      </c>
      <c r="E77" s="170">
        <v>1</v>
      </c>
      <c r="F77" s="170">
        <v>6</v>
      </c>
      <c r="G77" s="170">
        <v>60</v>
      </c>
      <c r="H77" s="170">
        <f>(8-1-0.75*2)*60*E77-J77-8*0.12*60</f>
        <v>57.900000000000006</v>
      </c>
      <c r="I77" s="170">
        <v>14</v>
      </c>
      <c r="J77" s="170">
        <f>(8-1-0.75*2)*0.65*60*E77</f>
        <v>214.5</v>
      </c>
      <c r="K77" s="207">
        <v>6.47</v>
      </c>
      <c r="L77" s="207">
        <v>6.47</v>
      </c>
      <c r="M77" s="170">
        <v>10</v>
      </c>
      <c r="N77" s="170">
        <f>D77/E77</f>
        <v>1</v>
      </c>
      <c r="O77" s="170">
        <v>180</v>
      </c>
      <c r="P77" s="170">
        <v>47</v>
      </c>
      <c r="Q77" s="211">
        <v>20</v>
      </c>
      <c r="R77" s="211">
        <v>1.27</v>
      </c>
      <c r="S77" s="207">
        <f>ROUND((K77*H77+1.3*K77*J77+R77*G77),4)</f>
        <v>2254.9724999999999</v>
      </c>
      <c r="T77" s="207">
        <f>ROUND((L77*H77+1.3*L77*J77+R77*G77),4)</f>
        <v>2254.9724999999999</v>
      </c>
      <c r="U77" s="207">
        <f>ROUND((L77*H77+1.3*L77*J77+R77*G77),4)</f>
        <v>2254.9724999999999</v>
      </c>
      <c r="V77" s="207">
        <f>ROUND((K77*I77+1.3*K77*M77+R77*F77),4)</f>
        <v>182.31</v>
      </c>
      <c r="W77" s="207">
        <f>ROUND((L77*I77+1.3*L77*M77+R77*F77),4)</f>
        <v>182.31</v>
      </c>
      <c r="X77" s="207">
        <f>ROUND((L77*I77+1.3*L77*M77+R77*F77),4)</f>
        <v>182.31</v>
      </c>
      <c r="Y77" s="385">
        <f>ROUND((O77*S77*E77*N77/1000000),4)</f>
        <v>0.40589999999999998</v>
      </c>
      <c r="Z77" s="385">
        <f>ROUND((P77*T77*E77*N77/1000000),4)</f>
        <v>0.106</v>
      </c>
      <c r="AA77" s="385">
        <f>ROUND((Q77*U77*E77*N77/1000000),4)</f>
        <v>4.5100000000000001E-2</v>
      </c>
      <c r="AB77" s="931" t="s">
        <v>48</v>
      </c>
      <c r="AC77" s="932" t="s">
        <v>49</v>
      </c>
      <c r="AD77" s="933">
        <f>ROUND((((W77*D77)/1800)*0.8),4)</f>
        <v>8.1000000000000003E-2</v>
      </c>
      <c r="AE77" s="933">
        <f>ROUND(((Y77+Z77+AA77)*0.8),4)</f>
        <v>0.4456</v>
      </c>
      <c r="AF77" s="61"/>
      <c r="AG77" s="61"/>
      <c r="AH77" s="61"/>
      <c r="AI77" s="61"/>
    </row>
    <row r="78" spans="1:35" s="417" customFormat="1" ht="15" customHeight="1" x14ac:dyDescent="0.2">
      <c r="A78" s="552"/>
      <c r="B78" s="386" t="s">
        <v>332</v>
      </c>
      <c r="C78" s="387"/>
      <c r="D78" s="209"/>
      <c r="E78" s="209"/>
      <c r="F78" s="209"/>
      <c r="G78" s="209"/>
      <c r="H78" s="209"/>
      <c r="I78" s="209"/>
      <c r="J78" s="209"/>
      <c r="K78" s="210"/>
      <c r="L78" s="210"/>
      <c r="M78" s="209"/>
      <c r="N78" s="209"/>
      <c r="O78" s="209"/>
      <c r="P78" s="209"/>
      <c r="Q78" s="209"/>
      <c r="R78" s="213"/>
      <c r="S78" s="215"/>
      <c r="T78" s="215"/>
      <c r="U78" s="215"/>
      <c r="V78" s="215"/>
      <c r="W78" s="215"/>
      <c r="X78" s="215"/>
      <c r="Y78" s="215"/>
      <c r="Z78" s="215"/>
      <c r="AA78" s="215"/>
      <c r="AB78" s="931" t="s">
        <v>51</v>
      </c>
      <c r="AC78" s="932" t="s">
        <v>52</v>
      </c>
      <c r="AD78" s="933">
        <f>ROUND((((W77*D77)/1800)*0.13),4)</f>
        <v>1.32E-2</v>
      </c>
      <c r="AE78" s="933">
        <f>ROUND(((Y77+Z77+AA77)*0.13),4)</f>
        <v>7.2400000000000006E-2</v>
      </c>
      <c r="AF78" s="61"/>
      <c r="AG78" s="61"/>
      <c r="AH78" s="61"/>
      <c r="AI78" s="61"/>
    </row>
    <row r="79" spans="1:35" s="417" customFormat="1" ht="15" customHeight="1" x14ac:dyDescent="0.2">
      <c r="A79" s="552"/>
      <c r="B79" s="209" t="s">
        <v>341</v>
      </c>
      <c r="C79" s="389"/>
      <c r="D79" s="209"/>
      <c r="E79" s="209"/>
      <c r="F79" s="209"/>
      <c r="G79" s="209"/>
      <c r="H79" s="209"/>
      <c r="I79" s="209"/>
      <c r="J79" s="209"/>
      <c r="K79" s="391">
        <v>0.51</v>
      </c>
      <c r="L79" s="391">
        <v>0.63</v>
      </c>
      <c r="M79" s="209"/>
      <c r="N79" s="209"/>
      <c r="O79" s="209"/>
      <c r="P79" s="209"/>
      <c r="Q79" s="209"/>
      <c r="R79" s="392">
        <v>0.25</v>
      </c>
      <c r="S79" s="207">
        <f>ROUND((K79*H77+1.3*K79*J77+R79*G77),4)</f>
        <v>186.74250000000001</v>
      </c>
      <c r="T79" s="207">
        <f>ROUND((L79*0.9*H77+1.3*L79*0.9*J77+R79*G77),4)</f>
        <v>205.93729999999999</v>
      </c>
      <c r="U79" s="207">
        <f>ROUND((L79*H77+1.3*L79*J77+R79*G77),4)</f>
        <v>227.1525</v>
      </c>
      <c r="V79" s="207">
        <f>ROUND((K79*I77+1.3*K79*M77+R79*F77),4)</f>
        <v>15.27</v>
      </c>
      <c r="W79" s="207">
        <f>ROUND((L79*0.9*I77+1.3*L79*0.9*M77+R79*F77),4)</f>
        <v>16.809000000000001</v>
      </c>
      <c r="X79" s="207">
        <f>ROUND((L79*I77+1.3*L79*M77+R79*F77),4)</f>
        <v>18.510000000000002</v>
      </c>
      <c r="Y79" s="385">
        <f>ROUND((O77*S79*E77*N77/1000000),4)</f>
        <v>3.3599999999999998E-2</v>
      </c>
      <c r="Z79" s="385">
        <f>ROUND((P77*T79*E77*N77/1000000),4)</f>
        <v>9.7000000000000003E-3</v>
      </c>
      <c r="AA79" s="385">
        <f>ROUND((Q77*U79*E77*N77/1000000),4)</f>
        <v>4.4999999999999997E-3</v>
      </c>
      <c r="AB79" s="931" t="s">
        <v>56</v>
      </c>
      <c r="AC79" s="932" t="s">
        <v>57</v>
      </c>
      <c r="AD79" s="933">
        <f>ROUND((((W79*D77)/1800)),4)</f>
        <v>9.2999999999999992E-3</v>
      </c>
      <c r="AE79" s="933">
        <f>ROUND(((Y79+Z79+AA79)),5)</f>
        <v>4.7800000000000002E-2</v>
      </c>
      <c r="AF79" s="61"/>
      <c r="AG79" s="61"/>
      <c r="AH79" s="61"/>
      <c r="AI79" s="61"/>
    </row>
    <row r="80" spans="1:35" s="417" customFormat="1" ht="15" customHeight="1" x14ac:dyDescent="0.2">
      <c r="A80" s="552"/>
      <c r="B80" s="209"/>
      <c r="C80" s="387"/>
      <c r="D80" s="209"/>
      <c r="E80" s="209"/>
      <c r="F80" s="209"/>
      <c r="G80" s="209"/>
      <c r="H80" s="209"/>
      <c r="I80" s="209"/>
      <c r="J80" s="209"/>
      <c r="K80" s="391">
        <v>1.1399999999999999</v>
      </c>
      <c r="L80" s="391">
        <v>1.37</v>
      </c>
      <c r="M80" s="209"/>
      <c r="N80" s="209"/>
      <c r="O80" s="209"/>
      <c r="P80" s="209"/>
      <c r="Q80" s="209"/>
      <c r="R80" s="393">
        <v>0.79</v>
      </c>
      <c r="S80" s="207">
        <f>ROUND((K80*H77+1.3*K80*J77+R80*G77),4)</f>
        <v>431.29500000000002</v>
      </c>
      <c r="T80" s="207">
        <f>ROUND((L80*0.9*H77+1.3*L80*0.9*J77+R80*G77),4)</f>
        <v>462.61279999999999</v>
      </c>
      <c r="U80" s="207">
        <f>ROUND((L80*H77+1.3*L80*J77+R80*G77),4)</f>
        <v>508.7475</v>
      </c>
      <c r="V80" s="207">
        <f>ROUND((K80*I77+1.3*K80*M77+R80*F77),4)</f>
        <v>35.520000000000003</v>
      </c>
      <c r="W80" s="207">
        <f>ROUND((L80*0.9*I77+1.3*L80*0.9*M77+R80*F77),4)</f>
        <v>38.030999999999999</v>
      </c>
      <c r="X80" s="207">
        <f>ROUND((L80*I77+1.3*M77+R80*F77),4)</f>
        <v>36.92</v>
      </c>
      <c r="Y80" s="385">
        <f>ROUND((O77*S80*E77*N77/1000000),4)</f>
        <v>7.7600000000000002E-2</v>
      </c>
      <c r="Z80" s="385">
        <f>ROUND((P77*T80*E77*N77/1000000),4)</f>
        <v>2.1700000000000001E-2</v>
      </c>
      <c r="AA80" s="385">
        <f>ROUND((Q77*U80*E77*N77/1000000),4)</f>
        <v>1.0200000000000001E-2</v>
      </c>
      <c r="AB80" s="931" t="s">
        <v>177</v>
      </c>
      <c r="AC80" s="932" t="s">
        <v>178</v>
      </c>
      <c r="AD80" s="933">
        <f>ROUND((((W80*D77)/1800)),4)</f>
        <v>2.1100000000000001E-2</v>
      </c>
      <c r="AE80" s="933">
        <f>ROUND(((Y80+Z80+AA80)),4)</f>
        <v>0.1095</v>
      </c>
      <c r="AF80" s="61"/>
      <c r="AG80" s="61"/>
      <c r="AH80" s="61"/>
      <c r="AI80" s="61"/>
    </row>
    <row r="81" spans="1:35" s="417" customFormat="1" ht="15" customHeight="1" x14ac:dyDescent="0.2">
      <c r="A81" s="552"/>
      <c r="B81" s="209"/>
      <c r="C81" s="387"/>
      <c r="D81" s="209"/>
      <c r="E81" s="209"/>
      <c r="F81" s="209"/>
      <c r="G81" s="209"/>
      <c r="H81" s="209"/>
      <c r="I81" s="209"/>
      <c r="J81" s="209"/>
      <c r="K81" s="391">
        <v>0.72</v>
      </c>
      <c r="L81" s="391">
        <v>1.08</v>
      </c>
      <c r="M81" s="209"/>
      <c r="N81" s="209"/>
      <c r="O81" s="209"/>
      <c r="P81" s="209"/>
      <c r="Q81" s="209"/>
      <c r="R81" s="393">
        <v>0.17</v>
      </c>
      <c r="S81" s="207">
        <f>ROUND((K81*H77+1.3*K81*J77+R81*G77),4)</f>
        <v>252.66</v>
      </c>
      <c r="T81" s="207">
        <f>ROUND((L81*0.9*H77+1.3*L81*0.9*J77+R81*G77),4)</f>
        <v>337.52100000000002</v>
      </c>
      <c r="U81" s="207">
        <f>ROUND((L81*H77+1.3*L81*J77+R81*G77),4)</f>
        <v>373.89</v>
      </c>
      <c r="V81" s="207">
        <f>ROUND((K81*I77+1.3*K81*M77+R81*F77),4)</f>
        <v>20.46</v>
      </c>
      <c r="W81" s="207">
        <f>ROUND((L81*0.9*I77+1.3*L81*0.9*M77+R81*F77),4)</f>
        <v>27.263999999999999</v>
      </c>
      <c r="X81" s="207">
        <f>ROUND((L81*I77+1.3*L81*M77+R81*F77),4)</f>
        <v>30.18</v>
      </c>
      <c r="Y81" s="385">
        <f>ROUND((O77*S81*E77*N77/1000000),4)</f>
        <v>4.5499999999999999E-2</v>
      </c>
      <c r="Z81" s="385">
        <f>ROUND((P77*T81*E77*N77/1000000),4)</f>
        <v>1.5900000000000001E-2</v>
      </c>
      <c r="AA81" s="385">
        <f>ROUND((Q77*U81*E77*N77/1000000),4)</f>
        <v>7.4999999999999997E-3</v>
      </c>
      <c r="AB81" s="931" t="s">
        <v>61</v>
      </c>
      <c r="AC81" s="932" t="s">
        <v>62</v>
      </c>
      <c r="AD81" s="933">
        <f>ROUND((((W81*D77)/1800)),4)</f>
        <v>1.5100000000000001E-2</v>
      </c>
      <c r="AE81" s="933">
        <f>ROUND(((Y81+Z81+AA81)),4)</f>
        <v>6.8900000000000003E-2</v>
      </c>
      <c r="AF81" s="61"/>
      <c r="AG81" s="61"/>
      <c r="AH81" s="61"/>
      <c r="AI81" s="61"/>
    </row>
    <row r="82" spans="1:35" s="417" customFormat="1" ht="15" customHeight="1" x14ac:dyDescent="0.2">
      <c r="A82" s="553"/>
      <c r="B82" s="210"/>
      <c r="C82" s="214"/>
      <c r="D82" s="210"/>
      <c r="E82" s="210"/>
      <c r="F82" s="210"/>
      <c r="G82" s="210"/>
      <c r="H82" s="210"/>
      <c r="I82" s="210"/>
      <c r="J82" s="210"/>
      <c r="K82" s="391">
        <v>3.37</v>
      </c>
      <c r="L82" s="391">
        <v>4.1100000000000003</v>
      </c>
      <c r="M82" s="210"/>
      <c r="N82" s="210"/>
      <c r="O82" s="210"/>
      <c r="P82" s="210"/>
      <c r="Q82" s="210"/>
      <c r="R82" s="393">
        <v>6.31</v>
      </c>
      <c r="S82" s="207">
        <f>ROUND((K82*H77+1.3*K82*J77+R82*G77),4)</f>
        <v>1513.4475</v>
      </c>
      <c r="T82" s="207">
        <f>ROUND((L82*0.9*H77+1.3*L82*0.9*J77+R82*G77),4)</f>
        <v>1624.2383</v>
      </c>
      <c r="U82" s="207">
        <f>ROUND((L82*H77+1.3*L82*J77+R82*G77),4)</f>
        <v>1762.6424999999999</v>
      </c>
      <c r="V82" s="207">
        <f>ROUND((K82*I77+1.3*K82*M77+R82*F77),4)</f>
        <v>128.85</v>
      </c>
      <c r="W82" s="207">
        <f>ROUND((L82*0.9*I77+1.3*L82*0.9*M77+R82*F77),4)</f>
        <v>137.733</v>
      </c>
      <c r="X82" s="207">
        <f>ROUND((L82*I77+1.3*L82*M77+R82*F77),4)</f>
        <v>148.83000000000001</v>
      </c>
      <c r="Y82" s="385">
        <f>ROUND((O77*S82*E77*N77/1000000),4)</f>
        <v>0.27239999999999998</v>
      </c>
      <c r="Z82" s="385">
        <f>ROUND((P77*T82*E77*N77/1000000),4)</f>
        <v>7.6300000000000007E-2</v>
      </c>
      <c r="AA82" s="385">
        <f>ROUND((Q77*U82*E77*N77/1000000),4)</f>
        <v>3.5299999999999998E-2</v>
      </c>
      <c r="AB82" s="931" t="s">
        <v>65</v>
      </c>
      <c r="AC82" s="932" t="s">
        <v>66</v>
      </c>
      <c r="AD82" s="933">
        <f>ROUND((((W82*D77)/1800)),4)</f>
        <v>7.6499999999999999E-2</v>
      </c>
      <c r="AE82" s="933">
        <f>ROUND(((Y82+Z82+AA82)),4)</f>
        <v>0.38400000000000001</v>
      </c>
      <c r="AF82" s="61">
        <f>SUM(AD77:AD82)</f>
        <v>0.2162</v>
      </c>
      <c r="AG82" s="61">
        <f>SUM(AE77:AE82)</f>
        <v>1.1282000000000001</v>
      </c>
      <c r="AH82" s="61"/>
      <c r="AI82" s="61"/>
    </row>
    <row r="83" spans="1:35" s="417" customFormat="1" ht="15" customHeight="1" x14ac:dyDescent="0.2">
      <c r="A83" s="1449" t="s">
        <v>548</v>
      </c>
      <c r="B83" s="1450"/>
      <c r="C83" s="1451"/>
      <c r="D83" s="1451"/>
      <c r="E83" s="1451"/>
      <c r="F83" s="1451"/>
      <c r="G83" s="1451"/>
      <c r="H83" s="1451"/>
      <c r="I83" s="1451"/>
      <c r="J83" s="1451"/>
      <c r="K83" s="1451"/>
      <c r="L83" s="1451"/>
      <c r="M83" s="1451"/>
      <c r="N83" s="1451"/>
      <c r="O83" s="1451"/>
      <c r="P83" s="1451"/>
      <c r="Q83" s="1451"/>
      <c r="R83" s="1451"/>
      <c r="S83" s="1451"/>
      <c r="T83" s="1451"/>
      <c r="U83" s="1451"/>
      <c r="V83" s="1451"/>
      <c r="W83" s="1451"/>
      <c r="X83" s="1451"/>
      <c r="Y83" s="1451"/>
      <c r="Z83" s="1451"/>
      <c r="AA83" s="1451"/>
      <c r="AB83" s="1451"/>
      <c r="AC83" s="1451"/>
      <c r="AD83" s="1451"/>
      <c r="AE83" s="1452"/>
      <c r="AF83" s="61"/>
      <c r="AG83" s="61"/>
      <c r="AH83" s="61"/>
      <c r="AI83" s="61"/>
    </row>
    <row r="84" spans="1:35" s="417" customFormat="1" ht="15" customHeight="1" x14ac:dyDescent="0.2">
      <c r="A84" s="548" t="s">
        <v>353</v>
      </c>
      <c r="B84" s="384" t="s">
        <v>343</v>
      </c>
      <c r="C84" s="212">
        <v>3</v>
      </c>
      <c r="D84" s="170">
        <v>1</v>
      </c>
      <c r="E84" s="170">
        <v>1</v>
      </c>
      <c r="F84" s="170">
        <v>6</v>
      </c>
      <c r="G84" s="170">
        <v>60</v>
      </c>
      <c r="H84" s="170">
        <f>(8-1-0.75*2)*60*E84-J84-8*0.12*60</f>
        <v>57.900000000000006</v>
      </c>
      <c r="I84" s="170">
        <v>14</v>
      </c>
      <c r="J84" s="170">
        <f>(8-1-0.75*2)*0.65*60*E84</f>
        <v>214.5</v>
      </c>
      <c r="K84" s="170">
        <v>1.49</v>
      </c>
      <c r="L84" s="170">
        <v>1.49</v>
      </c>
      <c r="M84" s="170">
        <v>10</v>
      </c>
      <c r="N84" s="170">
        <f>D84/E84</f>
        <v>1</v>
      </c>
      <c r="O84" s="170">
        <v>180</v>
      </c>
      <c r="P84" s="170">
        <v>47</v>
      </c>
      <c r="Q84" s="211">
        <v>20</v>
      </c>
      <c r="R84" s="170">
        <v>0.28999999999999998</v>
      </c>
      <c r="S84" s="207">
        <f>ROUND((K84*H84+1.3*K84*J84+R84*G84),4)</f>
        <v>519.15750000000003</v>
      </c>
      <c r="T84" s="207">
        <f>ROUND((L84*H84+1.3*L84*J84+R84*G84),4)</f>
        <v>519.15750000000003</v>
      </c>
      <c r="U84" s="207">
        <f>ROUND((L84*H84+1.3*L84*J84+R84*G84),4)</f>
        <v>519.15750000000003</v>
      </c>
      <c r="V84" s="207">
        <f>ROUND((K84*I84+1.3*K84*M84+R84*F84),4)</f>
        <v>41.97</v>
      </c>
      <c r="W84" s="207">
        <f>ROUND((L84*I84+1.3*L84*M84+R84*F84),4)</f>
        <v>41.97</v>
      </c>
      <c r="X84" s="207">
        <f>ROUND((L84*I84+1.3*L84*M84+R84*F84),4)</f>
        <v>41.97</v>
      </c>
      <c r="Y84" s="385">
        <f>ROUND((O84*S84*E84*N84/1000000),4)</f>
        <v>9.3399999999999997E-2</v>
      </c>
      <c r="Z84" s="385">
        <f>ROUND((P84*T84*E84*N84/1000000),4)</f>
        <v>2.4400000000000002E-2</v>
      </c>
      <c r="AA84" s="385">
        <f>ROUND((Q84*U84*E84*N84/1000000),4)</f>
        <v>1.04E-2</v>
      </c>
      <c r="AB84" s="931" t="s">
        <v>48</v>
      </c>
      <c r="AC84" s="932" t="s">
        <v>49</v>
      </c>
      <c r="AD84" s="933">
        <f>ROUND((((W84*D84)/1800)*0.8),4)</f>
        <v>1.8700000000000001E-2</v>
      </c>
      <c r="AE84" s="933">
        <f>ROUND(((Y84+Z84+AA84)*0.8),4)</f>
        <v>0.1026</v>
      </c>
      <c r="AF84" s="61"/>
      <c r="AG84" s="61"/>
      <c r="AH84" s="61"/>
      <c r="AI84" s="61"/>
    </row>
    <row r="85" spans="1:35" s="417" customFormat="1" ht="15" customHeight="1" x14ac:dyDescent="0.2">
      <c r="A85" s="549"/>
      <c r="B85" s="386" t="s">
        <v>344</v>
      </c>
      <c r="C85" s="387"/>
      <c r="D85" s="209"/>
      <c r="E85" s="209"/>
      <c r="F85" s="209"/>
      <c r="G85" s="209"/>
      <c r="H85" s="209"/>
      <c r="I85" s="209"/>
      <c r="J85" s="209"/>
      <c r="K85" s="209"/>
      <c r="L85" s="209"/>
      <c r="M85" s="209"/>
      <c r="N85" s="209"/>
      <c r="O85" s="209"/>
      <c r="P85" s="209"/>
      <c r="Q85" s="209"/>
      <c r="R85" s="388"/>
      <c r="S85" s="215"/>
      <c r="T85" s="215"/>
      <c r="U85" s="215"/>
      <c r="V85" s="215"/>
      <c r="W85" s="215"/>
      <c r="X85" s="215"/>
      <c r="Y85" s="215"/>
      <c r="Z85" s="215"/>
      <c r="AA85" s="215"/>
      <c r="AB85" s="931" t="s">
        <v>51</v>
      </c>
      <c r="AC85" s="932" t="s">
        <v>52</v>
      </c>
      <c r="AD85" s="933">
        <f>ROUND((((W84*D84)/1800)*0.13),4)</f>
        <v>3.0000000000000001E-3</v>
      </c>
      <c r="AE85" s="933">
        <f>ROUND(((Y84+Z84+AA84)*0.13),4)</f>
        <v>1.67E-2</v>
      </c>
      <c r="AF85" s="61"/>
      <c r="AG85" s="61"/>
      <c r="AH85" s="61"/>
      <c r="AI85" s="61"/>
    </row>
    <row r="86" spans="1:35" s="417" customFormat="1" ht="15" customHeight="1" x14ac:dyDescent="0.2">
      <c r="A86" s="554"/>
      <c r="B86" s="209" t="s">
        <v>342</v>
      </c>
      <c r="C86" s="389"/>
      <c r="D86" s="209"/>
      <c r="E86" s="209"/>
      <c r="F86" s="209"/>
      <c r="G86" s="209"/>
      <c r="H86" s="209"/>
      <c r="I86" s="209"/>
      <c r="J86" s="209"/>
      <c r="K86" s="209">
        <v>0.12</v>
      </c>
      <c r="L86" s="209">
        <v>0.15</v>
      </c>
      <c r="M86" s="209"/>
      <c r="N86" s="209"/>
      <c r="O86" s="209"/>
      <c r="P86" s="209"/>
      <c r="Q86" s="209"/>
      <c r="R86" s="133">
        <v>5.8000000000000003E-2</v>
      </c>
      <c r="S86" s="207">
        <f>ROUND((K86*H84+1.3*K86*J84+R86*G84),4)</f>
        <v>43.89</v>
      </c>
      <c r="T86" s="207">
        <f>ROUND((L86*0.9*H84+1.3*L86*0.9*J84+R86*G84),4)</f>
        <v>48.941299999999998</v>
      </c>
      <c r="U86" s="207">
        <f>ROUND((L86*H84+1.3*L86*J84+R86*G84),4)</f>
        <v>53.9925</v>
      </c>
      <c r="V86" s="207">
        <f>ROUND((K86*I84+1.3*K86*M84+R86*F84),4)</f>
        <v>3.5880000000000001</v>
      </c>
      <c r="W86" s="207">
        <f>ROUND((L86*0.9*I84+1.3*L86*0.9*M84+R86*F84),4)</f>
        <v>3.9929999999999999</v>
      </c>
      <c r="X86" s="207">
        <f>ROUND((L86*I84+1.3*L86*M84+R86*F84),4)</f>
        <v>4.3979999999999997</v>
      </c>
      <c r="Y86" s="385">
        <f>ROUND((O84*S86*E84*N84/1000000),4)</f>
        <v>7.9000000000000008E-3</v>
      </c>
      <c r="Z86" s="385">
        <f>ROUND((P84*T86*E84*N84/1000000),4)</f>
        <v>2.3E-3</v>
      </c>
      <c r="AA86" s="385">
        <f>ROUND((Q84*U86*E84*N84/1000000),4)</f>
        <v>1.1000000000000001E-3</v>
      </c>
      <c r="AB86" s="931" t="s">
        <v>56</v>
      </c>
      <c r="AC86" s="932" t="s">
        <v>57</v>
      </c>
      <c r="AD86" s="933">
        <f>ROUND((((W86*D84)/1800)),4)</f>
        <v>2.2000000000000001E-3</v>
      </c>
      <c r="AE86" s="933">
        <f>ROUND(((Y86+Z86+AA86)),5)</f>
        <v>1.1299999999999999E-2</v>
      </c>
      <c r="AF86" s="61"/>
      <c r="AG86" s="61"/>
      <c r="AH86" s="61"/>
      <c r="AI86" s="61"/>
    </row>
    <row r="87" spans="1:35" s="417" customFormat="1" ht="15" customHeight="1" x14ac:dyDescent="0.2">
      <c r="A87" s="554"/>
      <c r="B87" s="209"/>
      <c r="C87" s="387"/>
      <c r="D87" s="209"/>
      <c r="E87" s="209"/>
      <c r="F87" s="209"/>
      <c r="G87" s="209"/>
      <c r="H87" s="209"/>
      <c r="I87" s="209"/>
      <c r="J87" s="209"/>
      <c r="K87" s="209">
        <v>0.26</v>
      </c>
      <c r="L87" s="209">
        <v>0.31</v>
      </c>
      <c r="M87" s="209"/>
      <c r="N87" s="209"/>
      <c r="O87" s="209"/>
      <c r="P87" s="209"/>
      <c r="Q87" s="209"/>
      <c r="R87" s="133">
        <v>0.18</v>
      </c>
      <c r="S87" s="207">
        <f>ROUND((K87*H84+1.3*K87*J84+R87*G84),4)</f>
        <v>98.355000000000004</v>
      </c>
      <c r="T87" s="207">
        <f>ROUND((L87*0.9*H84+1.3*L87*0.9*J84+R87*G84),4)</f>
        <v>104.7533</v>
      </c>
      <c r="U87" s="207">
        <f>ROUND((L87*H84+1.3*L87*J84+R87*G84),4)</f>
        <v>115.1925</v>
      </c>
      <c r="V87" s="207">
        <f>ROUND((K87*I84+1.3*K87*M84+R87*F84),4)</f>
        <v>8.1</v>
      </c>
      <c r="W87" s="207">
        <f>ROUND((L87*0.9*I84+1.3*L87*0.9*M84+R87*F84),4)</f>
        <v>8.6129999999999995</v>
      </c>
      <c r="X87" s="207">
        <f>ROUND((L87*I84+1.3*M84+R87*F84),4)</f>
        <v>18.420000000000002</v>
      </c>
      <c r="Y87" s="385">
        <f>ROUND((O84*S87*E84*N84/1000000),4)</f>
        <v>1.77E-2</v>
      </c>
      <c r="Z87" s="385">
        <f>ROUND((P84*T87*E84*N84/1000000),4)</f>
        <v>4.8999999999999998E-3</v>
      </c>
      <c r="AA87" s="385">
        <f>ROUND((Q84*U87*E84*N84/1000000),4)</f>
        <v>2.3E-3</v>
      </c>
      <c r="AB87" s="931" t="s">
        <v>177</v>
      </c>
      <c r="AC87" s="932" t="s">
        <v>178</v>
      </c>
      <c r="AD87" s="933">
        <f>ROUND((((W87*D84)/1800)),4)</f>
        <v>4.7999999999999996E-3</v>
      </c>
      <c r="AE87" s="933">
        <f>ROUND(((Y87+Z87+AA87)),4)</f>
        <v>2.4899999999999999E-2</v>
      </c>
      <c r="AF87" s="61"/>
      <c r="AG87" s="61"/>
      <c r="AH87" s="61"/>
      <c r="AI87" s="61"/>
    </row>
    <row r="88" spans="1:35" s="417" customFormat="1" ht="15" customHeight="1" x14ac:dyDescent="0.2">
      <c r="A88" s="554"/>
      <c r="B88" s="209"/>
      <c r="C88" s="387"/>
      <c r="D88" s="209"/>
      <c r="E88" s="209"/>
      <c r="F88" s="209"/>
      <c r="G88" s="209"/>
      <c r="H88" s="209"/>
      <c r="I88" s="209"/>
      <c r="J88" s="209"/>
      <c r="K88" s="209">
        <v>0.17</v>
      </c>
      <c r="L88" s="209">
        <v>0.25</v>
      </c>
      <c r="M88" s="209"/>
      <c r="N88" s="209"/>
      <c r="O88" s="209"/>
      <c r="P88" s="209"/>
      <c r="Q88" s="209"/>
      <c r="R88" s="133">
        <v>0.04</v>
      </c>
      <c r="S88" s="207">
        <f>ROUND((K88*H84+1.3*K88*J84+R88*G84),4)</f>
        <v>59.647500000000001</v>
      </c>
      <c r="T88" s="207">
        <f>ROUND((L88*0.9*H84+1.3*L88*0.9*J84+R88*G84),4)</f>
        <v>78.168800000000005</v>
      </c>
      <c r="U88" s="207">
        <f>ROUND((L88*H84+1.3*L88*J84+R88*G84),4)</f>
        <v>86.587500000000006</v>
      </c>
      <c r="V88" s="207">
        <f>ROUND((K88*I84+1.3*K88*M84+R88*F84),4)</f>
        <v>4.83</v>
      </c>
      <c r="W88" s="207">
        <f>ROUND((L88*0.9*I84+1.3*L88*0.9*M84+R88*F84),4)</f>
        <v>6.3150000000000004</v>
      </c>
      <c r="X88" s="207">
        <f>ROUND((L88*I84+1.3*L88*M84+R88*F84),4)</f>
        <v>6.99</v>
      </c>
      <c r="Y88" s="385">
        <f>ROUND((O84*S88*E84*N84/1000000),4)</f>
        <v>1.0699999999999999E-2</v>
      </c>
      <c r="Z88" s="385">
        <f>ROUND((P84*T88*E84*N84/1000000),4)</f>
        <v>3.7000000000000002E-3</v>
      </c>
      <c r="AA88" s="385">
        <f>ROUND((Q84*U88*E84*N84/1000000),4)</f>
        <v>1.6999999999999999E-3</v>
      </c>
      <c r="AB88" s="931" t="s">
        <v>61</v>
      </c>
      <c r="AC88" s="932" t="s">
        <v>62</v>
      </c>
      <c r="AD88" s="933">
        <f>ROUND((((W88*D84)/1800)),4)</f>
        <v>3.5000000000000001E-3</v>
      </c>
      <c r="AE88" s="933">
        <f>ROUND(((Y88+Z88+AA88)),4)</f>
        <v>1.61E-2</v>
      </c>
      <c r="AF88" s="61"/>
      <c r="AG88" s="61"/>
      <c r="AH88" s="61"/>
      <c r="AI88" s="61"/>
    </row>
    <row r="89" spans="1:35" s="417" customFormat="1" ht="15" customHeight="1" x14ac:dyDescent="0.2">
      <c r="A89" s="555"/>
      <c r="B89" s="210"/>
      <c r="C89" s="214"/>
      <c r="D89" s="210"/>
      <c r="E89" s="210"/>
      <c r="F89" s="210"/>
      <c r="G89" s="210"/>
      <c r="H89" s="210"/>
      <c r="I89" s="210"/>
      <c r="J89" s="210"/>
      <c r="K89" s="210">
        <v>0.77</v>
      </c>
      <c r="L89" s="210">
        <v>0.94</v>
      </c>
      <c r="M89" s="210"/>
      <c r="N89" s="210"/>
      <c r="O89" s="210"/>
      <c r="P89" s="210"/>
      <c r="Q89" s="210"/>
      <c r="R89" s="133">
        <v>1.44</v>
      </c>
      <c r="S89" s="134">
        <f>ROUND((K89*H84+1.3*K89*J84+R89*G84),4)</f>
        <v>345.69749999999999</v>
      </c>
      <c r="T89" s="134">
        <f>ROUND((L89*0.9*H84+1.3*L89*0.9*J84+R89*G84),4)</f>
        <v>371.29050000000001</v>
      </c>
      <c r="U89" s="134">
        <f>ROUND((L89*H84+1.3*L89*J84+R89*G84),4)</f>
        <v>402.94499999999999</v>
      </c>
      <c r="V89" s="134">
        <f>ROUND((K89*I84+1.3*K89*M84+R89*F84),4)</f>
        <v>29.43</v>
      </c>
      <c r="W89" s="134">
        <f>ROUND((L89*0.9*I84+1.3*L89*0.9*M84+R89*F84),4)</f>
        <v>31.481999999999999</v>
      </c>
      <c r="X89" s="134">
        <f>ROUND((L89*I84+1.3*L89*M84+R89*F84),4)</f>
        <v>34.020000000000003</v>
      </c>
      <c r="Y89" s="394">
        <f>ROUND((O84*S89*E84*N84/1000000),4)</f>
        <v>6.2199999999999998E-2</v>
      </c>
      <c r="Z89" s="394">
        <f>ROUND((P84*T89*E84*N84/1000000),4)</f>
        <v>1.7500000000000002E-2</v>
      </c>
      <c r="AA89" s="394">
        <f>ROUND((Q84*U89*E84*N84/1000000),4)</f>
        <v>8.0999999999999996E-3</v>
      </c>
      <c r="AB89" s="931" t="s">
        <v>65</v>
      </c>
      <c r="AC89" s="932" t="s">
        <v>66</v>
      </c>
      <c r="AD89" s="933">
        <f>ROUND((((W89*D84)/1800)),4)</f>
        <v>1.7500000000000002E-2</v>
      </c>
      <c r="AE89" s="933">
        <f>ROUND(((Y89+Z89+AA89)),4)</f>
        <v>8.7800000000000003E-2</v>
      </c>
      <c r="AF89" s="61">
        <f>SUM(AD84:AD89)</f>
        <v>4.9700000000000001E-2</v>
      </c>
      <c r="AG89" s="61">
        <f>SUM(AE84:AE89)</f>
        <v>0.25940000000000002</v>
      </c>
      <c r="AH89" s="61"/>
      <c r="AI89" s="61"/>
    </row>
    <row r="90" spans="1:35" s="417" customFormat="1" ht="15" customHeight="1" x14ac:dyDescent="0.2">
      <c r="A90" s="1449" t="s">
        <v>549</v>
      </c>
      <c r="B90" s="1450"/>
      <c r="C90" s="1451"/>
      <c r="D90" s="1451"/>
      <c r="E90" s="1451"/>
      <c r="F90" s="1451"/>
      <c r="G90" s="1451"/>
      <c r="H90" s="1451"/>
      <c r="I90" s="1451"/>
      <c r="J90" s="1451"/>
      <c r="K90" s="1451"/>
      <c r="L90" s="1451"/>
      <c r="M90" s="1451"/>
      <c r="N90" s="1451"/>
      <c r="O90" s="1451"/>
      <c r="P90" s="1451"/>
      <c r="Q90" s="1451"/>
      <c r="R90" s="1451"/>
      <c r="S90" s="1451"/>
      <c r="T90" s="1451"/>
      <c r="U90" s="1451"/>
      <c r="V90" s="1451"/>
      <c r="W90" s="1451"/>
      <c r="X90" s="1451"/>
      <c r="Y90" s="1451"/>
      <c r="Z90" s="1451"/>
      <c r="AA90" s="1451"/>
      <c r="AB90" s="1451"/>
      <c r="AC90" s="1451"/>
      <c r="AD90" s="1451"/>
      <c r="AE90" s="1452"/>
      <c r="AF90" s="61"/>
      <c r="AG90" s="61"/>
      <c r="AH90" s="61"/>
      <c r="AI90" s="61"/>
    </row>
    <row r="91" spans="1:35" s="417" customFormat="1" ht="15" customHeight="1" x14ac:dyDescent="0.2">
      <c r="A91" s="548" t="s">
        <v>354</v>
      </c>
      <c r="B91" s="384" t="s">
        <v>343</v>
      </c>
      <c r="C91" s="212">
        <v>3</v>
      </c>
      <c r="D91" s="170">
        <v>1</v>
      </c>
      <c r="E91" s="170">
        <v>1</v>
      </c>
      <c r="F91" s="170">
        <v>6</v>
      </c>
      <c r="G91" s="170">
        <v>60</v>
      </c>
      <c r="H91" s="170">
        <f>(8-1-0.75*2)*60*E91-J91-8*0.12*60</f>
        <v>57.900000000000006</v>
      </c>
      <c r="I91" s="170">
        <v>14</v>
      </c>
      <c r="J91" s="170">
        <f>(8-1-0.75*2)*0.65*60*E91</f>
        <v>214.5</v>
      </c>
      <c r="K91" s="170">
        <v>1.49</v>
      </c>
      <c r="L91" s="170">
        <v>1.49</v>
      </c>
      <c r="M91" s="170">
        <v>10</v>
      </c>
      <c r="N91" s="170">
        <f>D91/E91</f>
        <v>1</v>
      </c>
      <c r="O91" s="170">
        <v>180</v>
      </c>
      <c r="P91" s="170">
        <v>47</v>
      </c>
      <c r="Q91" s="211">
        <v>20</v>
      </c>
      <c r="R91" s="170">
        <v>0.28999999999999998</v>
      </c>
      <c r="S91" s="207">
        <f>ROUND((K91*H91+1.3*K91*J91+R91*G91),4)</f>
        <v>519.15750000000003</v>
      </c>
      <c r="T91" s="207">
        <f>ROUND((L91*H91+1.3*L91*J91+R91*G91),4)</f>
        <v>519.15750000000003</v>
      </c>
      <c r="U91" s="207">
        <f>ROUND((L91*H91+1.3*L91*J91+R91*G91),4)</f>
        <v>519.15750000000003</v>
      </c>
      <c r="V91" s="207">
        <f>ROUND((K91*I91+1.3*K91*M91+R91*F91),4)</f>
        <v>41.97</v>
      </c>
      <c r="W91" s="207">
        <f>ROUND((L91*I91+1.3*L91*M91+R91*F91),4)</f>
        <v>41.97</v>
      </c>
      <c r="X91" s="207">
        <f>ROUND((L91*I91+1.3*L91*M91+R91*F91),4)</f>
        <v>41.97</v>
      </c>
      <c r="Y91" s="385">
        <f>ROUND((O91*S91*E91*N91/1000000),4)</f>
        <v>9.3399999999999997E-2</v>
      </c>
      <c r="Z91" s="385">
        <f>ROUND((P91*T91*E91*N91/1000000),4)</f>
        <v>2.4400000000000002E-2</v>
      </c>
      <c r="AA91" s="385">
        <f>ROUND((Q91*U91*E91*N91/1000000),4)</f>
        <v>1.04E-2</v>
      </c>
      <c r="AB91" s="931" t="s">
        <v>48</v>
      </c>
      <c r="AC91" s="932" t="s">
        <v>49</v>
      </c>
      <c r="AD91" s="933">
        <f>ROUND((((W91*D91)/1800)*0.8),4)</f>
        <v>1.8700000000000001E-2</v>
      </c>
      <c r="AE91" s="933">
        <f>ROUND(((Y91+Z91+AA91)*0.8),4)</f>
        <v>0.1026</v>
      </c>
      <c r="AF91" s="61"/>
      <c r="AG91" s="61"/>
      <c r="AH91" s="61"/>
      <c r="AI91" s="61"/>
    </row>
    <row r="92" spans="1:35" s="417" customFormat="1" ht="15" customHeight="1" x14ac:dyDescent="0.2">
      <c r="A92" s="549" t="s">
        <v>166</v>
      </c>
      <c r="B92" s="386" t="s">
        <v>344</v>
      </c>
      <c r="C92" s="387"/>
      <c r="D92" s="209"/>
      <c r="E92" s="209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388"/>
      <c r="S92" s="215"/>
      <c r="T92" s="215"/>
      <c r="U92" s="215"/>
      <c r="V92" s="215"/>
      <c r="W92" s="215"/>
      <c r="X92" s="215"/>
      <c r="Y92" s="215"/>
      <c r="Z92" s="215"/>
      <c r="AA92" s="215"/>
      <c r="AB92" s="931" t="s">
        <v>51</v>
      </c>
      <c r="AC92" s="932" t="s">
        <v>52</v>
      </c>
      <c r="AD92" s="933">
        <f>ROUND((((W91*D91)/1800)*0.13),4)</f>
        <v>3.0000000000000001E-3</v>
      </c>
      <c r="AE92" s="933">
        <f>ROUND(((Y91+Z91+AA91)*0.13),4)</f>
        <v>1.67E-2</v>
      </c>
      <c r="AF92" s="61"/>
      <c r="AG92" s="61"/>
      <c r="AH92" s="61"/>
      <c r="AI92" s="61"/>
    </row>
    <row r="93" spans="1:35" s="417" customFormat="1" ht="15" customHeight="1" x14ac:dyDescent="0.2">
      <c r="A93" s="554"/>
      <c r="B93" s="209" t="s">
        <v>342</v>
      </c>
      <c r="C93" s="389"/>
      <c r="D93" s="209"/>
      <c r="E93" s="209"/>
      <c r="F93" s="209"/>
      <c r="G93" s="209"/>
      <c r="H93" s="209"/>
      <c r="I93" s="209"/>
      <c r="J93" s="209"/>
      <c r="K93" s="209">
        <v>0.12</v>
      </c>
      <c r="L93" s="209">
        <v>0.15</v>
      </c>
      <c r="M93" s="209"/>
      <c r="N93" s="209"/>
      <c r="O93" s="209"/>
      <c r="P93" s="209"/>
      <c r="Q93" s="209"/>
      <c r="R93" s="133">
        <v>5.8000000000000003E-2</v>
      </c>
      <c r="S93" s="207">
        <f>ROUND((K93*H91+1.3*K93*J91+R93*G91),4)</f>
        <v>43.89</v>
      </c>
      <c r="T93" s="207">
        <f>ROUND((L93*0.9*H91+1.3*L93*0.9*J91+R93*G91),4)</f>
        <v>48.941299999999998</v>
      </c>
      <c r="U93" s="207">
        <f>ROUND((L93*H91+1.3*L93*J91+R93*G91),4)</f>
        <v>53.9925</v>
      </c>
      <c r="V93" s="207">
        <f>ROUND((K93*I91+1.3*K93*M91+R93*F91),4)</f>
        <v>3.5880000000000001</v>
      </c>
      <c r="W93" s="207">
        <f>ROUND((L93*0.9*I91+1.3*L93*0.9*M91+R93*F91),4)</f>
        <v>3.9929999999999999</v>
      </c>
      <c r="X93" s="207">
        <f>ROUND((L93*I91+1.3*L93*M91+R93*F91),4)</f>
        <v>4.3979999999999997</v>
      </c>
      <c r="Y93" s="385">
        <f>ROUND((O91*S93*E91*N91/1000000),4)</f>
        <v>7.9000000000000008E-3</v>
      </c>
      <c r="Z93" s="385">
        <f>ROUND((P91*T93*E91*N91/1000000),4)</f>
        <v>2.3E-3</v>
      </c>
      <c r="AA93" s="385">
        <f>ROUND((Q91*U93*E91*N91/1000000),4)</f>
        <v>1.1000000000000001E-3</v>
      </c>
      <c r="AB93" s="931" t="s">
        <v>56</v>
      </c>
      <c r="AC93" s="932" t="s">
        <v>57</v>
      </c>
      <c r="AD93" s="933">
        <f>ROUND((((W93*D91)/1800)),4)</f>
        <v>2.2000000000000001E-3</v>
      </c>
      <c r="AE93" s="933">
        <f>ROUND(((Y93+Z93+AA93)),5)</f>
        <v>1.1299999999999999E-2</v>
      </c>
      <c r="AF93" s="61"/>
      <c r="AG93" s="61"/>
      <c r="AH93" s="61"/>
      <c r="AI93" s="61"/>
    </row>
    <row r="94" spans="1:35" s="417" customFormat="1" ht="15" customHeight="1" x14ac:dyDescent="0.2">
      <c r="A94" s="554"/>
      <c r="B94" s="209"/>
      <c r="C94" s="387"/>
      <c r="D94" s="209"/>
      <c r="E94" s="209"/>
      <c r="F94" s="209"/>
      <c r="G94" s="209"/>
      <c r="H94" s="209"/>
      <c r="I94" s="209"/>
      <c r="J94" s="209"/>
      <c r="K94" s="209">
        <v>0.26</v>
      </c>
      <c r="L94" s="209">
        <v>0.31</v>
      </c>
      <c r="M94" s="209"/>
      <c r="N94" s="209"/>
      <c r="O94" s="209"/>
      <c r="P94" s="209"/>
      <c r="Q94" s="209"/>
      <c r="R94" s="133">
        <v>0.18</v>
      </c>
      <c r="S94" s="207">
        <f>ROUND((K94*H91+1.3*K94*J91+R94*G91),4)</f>
        <v>98.355000000000004</v>
      </c>
      <c r="T94" s="207">
        <f>ROUND((L94*0.9*H91+1.3*L94*0.9*J91+R94*G91),4)</f>
        <v>104.7533</v>
      </c>
      <c r="U94" s="207">
        <f>ROUND((L94*H91+1.3*L94*J91+R94*G91),4)</f>
        <v>115.1925</v>
      </c>
      <c r="V94" s="207">
        <f>ROUND((K94*I91+1.3*K94*M91+R94*F91),4)</f>
        <v>8.1</v>
      </c>
      <c r="W94" s="207">
        <f>ROUND((L94*0.9*I91+1.3*L94*0.9*M91+R94*F91),4)</f>
        <v>8.6129999999999995</v>
      </c>
      <c r="X94" s="207">
        <f>ROUND((L94*I91+1.3*M91+R94*F91),4)</f>
        <v>18.420000000000002</v>
      </c>
      <c r="Y94" s="385">
        <f>ROUND((O91*S94*E91*N91/1000000),4)</f>
        <v>1.77E-2</v>
      </c>
      <c r="Z94" s="385">
        <f>ROUND((P91*T94*E91*N91/1000000),4)</f>
        <v>4.8999999999999998E-3</v>
      </c>
      <c r="AA94" s="385">
        <f>ROUND((Q91*U94*E91*N91/1000000),4)</f>
        <v>2.3E-3</v>
      </c>
      <c r="AB94" s="931" t="s">
        <v>177</v>
      </c>
      <c r="AC94" s="932" t="s">
        <v>178</v>
      </c>
      <c r="AD94" s="933">
        <f>ROUND((((W94*D91)/1800)),4)</f>
        <v>4.7999999999999996E-3</v>
      </c>
      <c r="AE94" s="933">
        <f>ROUND(((Y94+Z94+AA94)),4)</f>
        <v>2.4899999999999999E-2</v>
      </c>
      <c r="AF94" s="61"/>
      <c r="AG94" s="61"/>
      <c r="AH94" s="61"/>
      <c r="AI94" s="61"/>
    </row>
    <row r="95" spans="1:35" s="417" customFormat="1" ht="15" customHeight="1" x14ac:dyDescent="0.2">
      <c r="A95" s="554"/>
      <c r="B95" s="209"/>
      <c r="C95" s="387"/>
      <c r="D95" s="209"/>
      <c r="E95" s="209"/>
      <c r="F95" s="209"/>
      <c r="G95" s="209"/>
      <c r="H95" s="209"/>
      <c r="I95" s="209"/>
      <c r="J95" s="209"/>
      <c r="K95" s="209">
        <v>0.17</v>
      </c>
      <c r="L95" s="209">
        <v>0.25</v>
      </c>
      <c r="M95" s="209"/>
      <c r="N95" s="209"/>
      <c r="O95" s="209"/>
      <c r="P95" s="209"/>
      <c r="Q95" s="209"/>
      <c r="R95" s="133">
        <v>0.04</v>
      </c>
      <c r="S95" s="207">
        <f>ROUND((K95*H91+1.3*K95*J91+R95*G91),4)</f>
        <v>59.647500000000001</v>
      </c>
      <c r="T95" s="207">
        <f>ROUND((L95*0.9*H91+1.3*L95*0.9*J91+R95*G91),4)</f>
        <v>78.168800000000005</v>
      </c>
      <c r="U95" s="207">
        <f>ROUND((L95*H91+1.3*L95*J91+R95*G91),4)</f>
        <v>86.587500000000006</v>
      </c>
      <c r="V95" s="207">
        <f>ROUND((K95*I91+1.3*K95*M91+R95*F91),4)</f>
        <v>4.83</v>
      </c>
      <c r="W95" s="207">
        <f>ROUND((L95*0.9*I91+1.3*L95*0.9*M91+R95*F91),4)</f>
        <v>6.3150000000000004</v>
      </c>
      <c r="X95" s="207">
        <f>ROUND((L95*I91+1.3*L95*M91+R95*F91),4)</f>
        <v>6.99</v>
      </c>
      <c r="Y95" s="385">
        <f>ROUND((O91*S95*E91*N91/1000000),4)</f>
        <v>1.0699999999999999E-2</v>
      </c>
      <c r="Z95" s="385">
        <f>ROUND((P91*T95*E91*N91/1000000),4)</f>
        <v>3.7000000000000002E-3</v>
      </c>
      <c r="AA95" s="385">
        <f>ROUND((Q91*U95*E91*N91/1000000),4)</f>
        <v>1.6999999999999999E-3</v>
      </c>
      <c r="AB95" s="931" t="s">
        <v>61</v>
      </c>
      <c r="AC95" s="932" t="s">
        <v>62</v>
      </c>
      <c r="AD95" s="933">
        <f>ROUND((((W95*D91)/1800)),4)</f>
        <v>3.5000000000000001E-3</v>
      </c>
      <c r="AE95" s="933">
        <f>ROUND(((Y95+Z95+AA95)),4)</f>
        <v>1.61E-2</v>
      </c>
      <c r="AF95" s="61"/>
      <c r="AG95" s="61"/>
      <c r="AH95" s="61"/>
      <c r="AI95" s="61"/>
    </row>
    <row r="96" spans="1:35" s="417" customFormat="1" ht="15" customHeight="1" x14ac:dyDescent="0.2">
      <c r="A96" s="555"/>
      <c r="B96" s="210"/>
      <c r="C96" s="214"/>
      <c r="D96" s="210"/>
      <c r="E96" s="210"/>
      <c r="F96" s="210"/>
      <c r="G96" s="210"/>
      <c r="H96" s="210"/>
      <c r="I96" s="210"/>
      <c r="J96" s="210"/>
      <c r="K96" s="210">
        <v>0.77</v>
      </c>
      <c r="L96" s="210">
        <v>0.94</v>
      </c>
      <c r="M96" s="210"/>
      <c r="N96" s="210"/>
      <c r="O96" s="210"/>
      <c r="P96" s="210"/>
      <c r="Q96" s="210"/>
      <c r="R96" s="133">
        <v>1.44</v>
      </c>
      <c r="S96" s="134">
        <f>ROUND((K96*H91+1.3*K96*J91+R96*G91),4)</f>
        <v>345.69749999999999</v>
      </c>
      <c r="T96" s="134">
        <f>ROUND((L96*0.9*H91+1.3*L96*0.9*J91+R96*G91),4)</f>
        <v>371.29050000000001</v>
      </c>
      <c r="U96" s="134">
        <f>ROUND((L96*H91+1.3*L96*J91+R96*G91),4)</f>
        <v>402.94499999999999</v>
      </c>
      <c r="V96" s="134">
        <f>ROUND((K96*I91+1.3*K96*M91+R96*F91),4)</f>
        <v>29.43</v>
      </c>
      <c r="W96" s="134">
        <f>ROUND((L96*0.9*I91+1.3*L96*0.9*M91+R96*F91),4)</f>
        <v>31.481999999999999</v>
      </c>
      <c r="X96" s="134">
        <f>ROUND((L96*I91+1.3*L96*M91+R96*F91),4)</f>
        <v>34.020000000000003</v>
      </c>
      <c r="Y96" s="394">
        <f>ROUND((O91*S96*E91*N91/1000000),4)</f>
        <v>6.2199999999999998E-2</v>
      </c>
      <c r="Z96" s="394">
        <f>ROUND((P91*T96*E91*N91/1000000),4)</f>
        <v>1.7500000000000002E-2</v>
      </c>
      <c r="AA96" s="394">
        <f>ROUND((Q91*U96*E91*N91/1000000),4)</f>
        <v>8.0999999999999996E-3</v>
      </c>
      <c r="AB96" s="931" t="s">
        <v>65</v>
      </c>
      <c r="AC96" s="932" t="s">
        <v>66</v>
      </c>
      <c r="AD96" s="933">
        <f>ROUND((((W96*D91)/1800)),4)</f>
        <v>1.7500000000000002E-2</v>
      </c>
      <c r="AE96" s="933">
        <f>ROUND(((Y96+Z96+AA96)),4)</f>
        <v>8.7800000000000003E-2</v>
      </c>
      <c r="AF96" s="61">
        <f>SUM(AD91:AD96)</f>
        <v>4.9700000000000001E-2</v>
      </c>
      <c r="AG96" s="61">
        <f>SUM(AE91:AE96)</f>
        <v>0.25940000000000002</v>
      </c>
      <c r="AH96" s="61"/>
      <c r="AI96" s="61"/>
    </row>
    <row r="97" spans="1:35" s="417" customFormat="1" ht="15" customHeight="1" x14ac:dyDescent="0.2">
      <c r="A97" s="1449" t="s">
        <v>355</v>
      </c>
      <c r="B97" s="1450"/>
      <c r="C97" s="1451"/>
      <c r="D97" s="1451"/>
      <c r="E97" s="1451"/>
      <c r="F97" s="1451"/>
      <c r="G97" s="1451"/>
      <c r="H97" s="1451"/>
      <c r="I97" s="1451"/>
      <c r="J97" s="1451"/>
      <c r="K97" s="1451"/>
      <c r="L97" s="1451"/>
      <c r="M97" s="1451"/>
      <c r="N97" s="1451"/>
      <c r="O97" s="1451"/>
      <c r="P97" s="1451"/>
      <c r="Q97" s="1451"/>
      <c r="R97" s="1451"/>
      <c r="S97" s="1451"/>
      <c r="T97" s="1451"/>
      <c r="U97" s="1451"/>
      <c r="V97" s="1451"/>
      <c r="W97" s="1451"/>
      <c r="X97" s="1451"/>
      <c r="Y97" s="1451"/>
      <c r="Z97" s="1451"/>
      <c r="AA97" s="1451"/>
      <c r="AB97" s="1451"/>
      <c r="AC97" s="1451"/>
      <c r="AD97" s="1451"/>
      <c r="AE97" s="1452"/>
      <c r="AF97" s="61"/>
      <c r="AG97" s="61"/>
      <c r="AH97" s="61"/>
      <c r="AI97" s="61"/>
    </row>
    <row r="98" spans="1:35" s="417" customFormat="1" ht="15" customHeight="1" x14ac:dyDescent="0.2">
      <c r="A98" s="551" t="s">
        <v>356</v>
      </c>
      <c r="B98" s="390" t="s">
        <v>322</v>
      </c>
      <c r="C98" s="212">
        <v>6</v>
      </c>
      <c r="D98" s="170">
        <v>1</v>
      </c>
      <c r="E98" s="170">
        <v>1</v>
      </c>
      <c r="F98" s="170">
        <v>6</v>
      </c>
      <c r="G98" s="170">
        <v>60</v>
      </c>
      <c r="H98" s="170">
        <f>(8-1-0.75*2)*60*E98-J98-8*0.12*60</f>
        <v>57.900000000000006</v>
      </c>
      <c r="I98" s="170">
        <v>14</v>
      </c>
      <c r="J98" s="170">
        <f>(8-1-0.75*2)*0.65*60*E98</f>
        <v>214.5</v>
      </c>
      <c r="K98" s="207">
        <v>6.47</v>
      </c>
      <c r="L98" s="207">
        <v>6.47</v>
      </c>
      <c r="M98" s="170">
        <v>10</v>
      </c>
      <c r="N98" s="170">
        <f>D98/E98</f>
        <v>1</v>
      </c>
      <c r="O98" s="170">
        <v>180</v>
      </c>
      <c r="P98" s="170">
        <v>47</v>
      </c>
      <c r="Q98" s="211">
        <v>20</v>
      </c>
      <c r="R98" s="211">
        <v>1.27</v>
      </c>
      <c r="S98" s="207">
        <f>ROUND((K98*H98+1.3*K98*J98+R98*G98),4)</f>
        <v>2254.9724999999999</v>
      </c>
      <c r="T98" s="207">
        <f>ROUND((L98*H98+1.3*L98*J98+R98*G98),4)</f>
        <v>2254.9724999999999</v>
      </c>
      <c r="U98" s="207">
        <f>ROUND((L98*H98+1.3*L98*J98+R98*G98),4)</f>
        <v>2254.9724999999999</v>
      </c>
      <c r="V98" s="207">
        <f>ROUND((K98*I98+1.3*K98*M98+R98*F98),4)</f>
        <v>182.31</v>
      </c>
      <c r="W98" s="207">
        <f>ROUND((L98*I98+1.3*L98*M98+R98*F98),4)</f>
        <v>182.31</v>
      </c>
      <c r="X98" s="207">
        <f>ROUND((L98*I98+1.3*L98*M98+R98*F98),4)</f>
        <v>182.31</v>
      </c>
      <c r="Y98" s="385">
        <f>ROUND((O98*S98*E98*N98/1000000),4)</f>
        <v>0.40589999999999998</v>
      </c>
      <c r="Z98" s="385">
        <f>ROUND((P98*T98*E98*N98/1000000),4)</f>
        <v>0.106</v>
      </c>
      <c r="AA98" s="385">
        <f>ROUND((Q98*U98*E98*N98/1000000),4)</f>
        <v>4.5100000000000001E-2</v>
      </c>
      <c r="AB98" s="931" t="s">
        <v>48</v>
      </c>
      <c r="AC98" s="932" t="s">
        <v>49</v>
      </c>
      <c r="AD98" s="933">
        <f>ROUND((((W98*D98)/1800)*0.8),4)</f>
        <v>8.1000000000000003E-2</v>
      </c>
      <c r="AE98" s="933">
        <f>ROUND(((Y98+Z98+AA98)*0.8),4)</f>
        <v>0.4456</v>
      </c>
      <c r="AF98" s="61"/>
      <c r="AG98" s="61"/>
      <c r="AH98" s="61"/>
      <c r="AI98" s="61"/>
    </row>
    <row r="99" spans="1:35" s="417" customFormat="1" ht="15" customHeight="1" x14ac:dyDescent="0.2">
      <c r="A99" s="552"/>
      <c r="B99" s="386" t="s">
        <v>332</v>
      </c>
      <c r="C99" s="387"/>
      <c r="D99" s="209"/>
      <c r="E99" s="209"/>
      <c r="F99" s="209"/>
      <c r="G99" s="209"/>
      <c r="H99" s="209"/>
      <c r="I99" s="209"/>
      <c r="J99" s="209"/>
      <c r="K99" s="210"/>
      <c r="L99" s="210"/>
      <c r="M99" s="209"/>
      <c r="N99" s="209"/>
      <c r="O99" s="209"/>
      <c r="P99" s="209"/>
      <c r="Q99" s="209"/>
      <c r="R99" s="213"/>
      <c r="S99" s="215"/>
      <c r="T99" s="215"/>
      <c r="U99" s="215"/>
      <c r="V99" s="215"/>
      <c r="W99" s="215"/>
      <c r="X99" s="215"/>
      <c r="Y99" s="215"/>
      <c r="Z99" s="215"/>
      <c r="AA99" s="215"/>
      <c r="AB99" s="931" t="s">
        <v>51</v>
      </c>
      <c r="AC99" s="932" t="s">
        <v>52</v>
      </c>
      <c r="AD99" s="933">
        <f>ROUND((((W98*D98)/1800)*0.13),4)</f>
        <v>1.32E-2</v>
      </c>
      <c r="AE99" s="933">
        <f>ROUND(((Y98+Z98+AA98)*0.13),4)</f>
        <v>7.2400000000000006E-2</v>
      </c>
      <c r="AF99" s="61"/>
      <c r="AG99" s="61"/>
      <c r="AH99" s="61"/>
      <c r="AI99" s="61"/>
    </row>
    <row r="100" spans="1:35" s="417" customFormat="1" ht="15" customHeight="1" x14ac:dyDescent="0.2">
      <c r="A100" s="552"/>
      <c r="B100" s="209" t="s">
        <v>341</v>
      </c>
      <c r="C100" s="389"/>
      <c r="D100" s="209"/>
      <c r="E100" s="209"/>
      <c r="F100" s="209"/>
      <c r="G100" s="209"/>
      <c r="H100" s="209"/>
      <c r="I100" s="209"/>
      <c r="J100" s="209"/>
      <c r="K100" s="391">
        <v>0.51</v>
      </c>
      <c r="L100" s="391">
        <v>0.63</v>
      </c>
      <c r="M100" s="209"/>
      <c r="N100" s="209"/>
      <c r="O100" s="209"/>
      <c r="P100" s="209"/>
      <c r="Q100" s="209"/>
      <c r="R100" s="392">
        <v>0.25</v>
      </c>
      <c r="S100" s="207">
        <f>ROUND((K100*H98+1.3*K100*J98+R100*G98),4)</f>
        <v>186.74250000000001</v>
      </c>
      <c r="T100" s="207">
        <f>ROUND((L100*0.9*H98+1.3*L100*0.9*J98+R100*G98),4)</f>
        <v>205.93729999999999</v>
      </c>
      <c r="U100" s="207">
        <f>ROUND((L100*H98+1.3*L100*J98+R100*G98),4)</f>
        <v>227.1525</v>
      </c>
      <c r="V100" s="207">
        <f>ROUND((K100*I98+1.3*K100*M98+R100*F98),4)</f>
        <v>15.27</v>
      </c>
      <c r="W100" s="207">
        <f>ROUND((L100*0.9*I98+1.3*L100*0.9*M98+R100*F98),4)</f>
        <v>16.809000000000001</v>
      </c>
      <c r="X100" s="207">
        <f>ROUND((L100*I98+1.3*L100*M98+R100*F98),4)</f>
        <v>18.510000000000002</v>
      </c>
      <c r="Y100" s="385">
        <f>ROUND((O98*S100*E98*N98/1000000),4)</f>
        <v>3.3599999999999998E-2</v>
      </c>
      <c r="Z100" s="385">
        <f>ROUND((P98*T100*E98*N98/1000000),4)</f>
        <v>9.7000000000000003E-3</v>
      </c>
      <c r="AA100" s="385">
        <f>ROUND((Q98*U100*E98*N98/1000000),4)</f>
        <v>4.4999999999999997E-3</v>
      </c>
      <c r="AB100" s="931" t="s">
        <v>56</v>
      </c>
      <c r="AC100" s="932" t="s">
        <v>57</v>
      </c>
      <c r="AD100" s="933">
        <f>ROUND((((W100*D98)/1800)),4)</f>
        <v>9.2999999999999992E-3</v>
      </c>
      <c r="AE100" s="933">
        <f>ROUND(((Y100+Z100+AA100)),5)</f>
        <v>4.7800000000000002E-2</v>
      </c>
      <c r="AF100" s="61"/>
      <c r="AG100" s="61"/>
      <c r="AH100" s="61"/>
      <c r="AI100" s="61"/>
    </row>
    <row r="101" spans="1:35" s="417" customFormat="1" ht="15" customHeight="1" x14ac:dyDescent="0.2">
      <c r="A101" s="552"/>
      <c r="B101" s="209"/>
      <c r="C101" s="387"/>
      <c r="D101" s="209"/>
      <c r="E101" s="209"/>
      <c r="F101" s="209"/>
      <c r="G101" s="209"/>
      <c r="H101" s="209"/>
      <c r="I101" s="209"/>
      <c r="J101" s="209"/>
      <c r="K101" s="391">
        <v>1.1399999999999999</v>
      </c>
      <c r="L101" s="391">
        <v>1.37</v>
      </c>
      <c r="M101" s="209"/>
      <c r="N101" s="209"/>
      <c r="O101" s="209"/>
      <c r="P101" s="209"/>
      <c r="Q101" s="209"/>
      <c r="R101" s="393">
        <v>0.79</v>
      </c>
      <c r="S101" s="207">
        <f>ROUND((K101*H98+1.3*K101*J98+R101*G98),4)</f>
        <v>431.29500000000002</v>
      </c>
      <c r="T101" s="207">
        <f>ROUND((L101*0.9*H98+1.3*L101*0.9*J98+R101*G98),4)</f>
        <v>462.61279999999999</v>
      </c>
      <c r="U101" s="207">
        <f>ROUND((L101*H98+1.3*L101*J98+R101*G98),4)</f>
        <v>508.7475</v>
      </c>
      <c r="V101" s="207">
        <f>ROUND((K101*I98+1.3*K101*M98+R101*F98),4)</f>
        <v>35.520000000000003</v>
      </c>
      <c r="W101" s="207">
        <f>ROUND((L101*0.9*I98+1.3*L101*0.9*M98+R101*F98),4)</f>
        <v>38.030999999999999</v>
      </c>
      <c r="X101" s="207">
        <f>ROUND((L101*I98+1.3*M98+R101*F98),4)</f>
        <v>36.92</v>
      </c>
      <c r="Y101" s="385">
        <f>ROUND((O98*S101*E98*N98/1000000),4)</f>
        <v>7.7600000000000002E-2</v>
      </c>
      <c r="Z101" s="385">
        <f>ROUND((P98*T101*E98*N98/1000000),4)</f>
        <v>2.1700000000000001E-2</v>
      </c>
      <c r="AA101" s="385">
        <f>ROUND((Q98*U101*E98*N98/1000000),4)</f>
        <v>1.0200000000000001E-2</v>
      </c>
      <c r="AB101" s="931" t="s">
        <v>177</v>
      </c>
      <c r="AC101" s="932" t="s">
        <v>178</v>
      </c>
      <c r="AD101" s="933">
        <f>ROUND((((W101*D98)/1800)),4)</f>
        <v>2.1100000000000001E-2</v>
      </c>
      <c r="AE101" s="933">
        <f>ROUND(((Y101+Z101+AA101)),4)</f>
        <v>0.1095</v>
      </c>
      <c r="AF101" s="61"/>
      <c r="AG101" s="61"/>
      <c r="AH101" s="61"/>
      <c r="AI101" s="61"/>
    </row>
    <row r="102" spans="1:35" s="417" customFormat="1" ht="15" customHeight="1" x14ac:dyDescent="0.2">
      <c r="A102" s="552"/>
      <c r="B102" s="209"/>
      <c r="C102" s="387"/>
      <c r="D102" s="209"/>
      <c r="E102" s="209"/>
      <c r="F102" s="209"/>
      <c r="G102" s="209"/>
      <c r="H102" s="209"/>
      <c r="I102" s="209"/>
      <c r="J102" s="209"/>
      <c r="K102" s="391">
        <v>0.72</v>
      </c>
      <c r="L102" s="391">
        <v>1.08</v>
      </c>
      <c r="M102" s="209"/>
      <c r="N102" s="209"/>
      <c r="O102" s="209"/>
      <c r="P102" s="209"/>
      <c r="Q102" s="209"/>
      <c r="R102" s="393">
        <v>0.17</v>
      </c>
      <c r="S102" s="207">
        <f>ROUND((K102*H98+1.3*K102*J98+R102*G98),4)</f>
        <v>252.66</v>
      </c>
      <c r="T102" s="207">
        <f>ROUND((L102*0.9*H98+1.3*L102*0.9*J98+R102*G98),4)</f>
        <v>337.52100000000002</v>
      </c>
      <c r="U102" s="207">
        <f>ROUND((L102*H98+1.3*L102*J98+R102*G98),4)</f>
        <v>373.89</v>
      </c>
      <c r="V102" s="207">
        <f>ROUND((K102*I98+1.3*K102*M98+R102*F98),4)</f>
        <v>20.46</v>
      </c>
      <c r="W102" s="207">
        <f>ROUND((L102*0.9*I98+1.3*L102*0.9*M98+R102*F98),4)</f>
        <v>27.263999999999999</v>
      </c>
      <c r="X102" s="207">
        <f>ROUND((L102*I98+1.3*L102*M98+R102*F98),4)</f>
        <v>30.18</v>
      </c>
      <c r="Y102" s="385">
        <f>ROUND((O98*S102*E98*N98/1000000),4)</f>
        <v>4.5499999999999999E-2</v>
      </c>
      <c r="Z102" s="385">
        <f>ROUND((P98*T102*E98*N98/1000000),4)</f>
        <v>1.5900000000000001E-2</v>
      </c>
      <c r="AA102" s="385">
        <f>ROUND((Q98*U102*E98*N98/1000000),4)</f>
        <v>7.4999999999999997E-3</v>
      </c>
      <c r="AB102" s="931" t="s">
        <v>61</v>
      </c>
      <c r="AC102" s="932" t="s">
        <v>62</v>
      </c>
      <c r="AD102" s="933">
        <f>ROUND((((W102*D98)/1800)),4)</f>
        <v>1.5100000000000001E-2</v>
      </c>
      <c r="AE102" s="933">
        <f>ROUND(((Y102+Z102+AA102)),4)</f>
        <v>6.8900000000000003E-2</v>
      </c>
      <c r="AF102" s="61"/>
      <c r="AG102" s="61"/>
      <c r="AH102" s="61"/>
      <c r="AI102" s="61"/>
    </row>
    <row r="103" spans="1:35" s="417" customFormat="1" ht="15" customHeight="1" x14ac:dyDescent="0.2">
      <c r="A103" s="553"/>
      <c r="B103" s="210"/>
      <c r="C103" s="214"/>
      <c r="D103" s="210"/>
      <c r="E103" s="210"/>
      <c r="F103" s="210"/>
      <c r="G103" s="210"/>
      <c r="H103" s="210"/>
      <c r="I103" s="210"/>
      <c r="J103" s="210"/>
      <c r="K103" s="391">
        <v>3.37</v>
      </c>
      <c r="L103" s="391">
        <v>4.1100000000000003</v>
      </c>
      <c r="M103" s="210"/>
      <c r="N103" s="210"/>
      <c r="O103" s="210"/>
      <c r="P103" s="210"/>
      <c r="Q103" s="210"/>
      <c r="R103" s="393">
        <v>6.31</v>
      </c>
      <c r="S103" s="207">
        <f>ROUND((K103*H98+1.3*K103*J98+R103*G98),4)</f>
        <v>1513.4475</v>
      </c>
      <c r="T103" s="207">
        <f>ROUND((L103*0.9*H98+1.3*L103*0.9*J98+R103*G98),4)</f>
        <v>1624.2383</v>
      </c>
      <c r="U103" s="207">
        <f>ROUND((L103*H98+1.3*L103*J98+R103*G98),4)</f>
        <v>1762.6424999999999</v>
      </c>
      <c r="V103" s="207">
        <f>ROUND((K103*I98+1.3*K103*M98+R103*F98),4)</f>
        <v>128.85</v>
      </c>
      <c r="W103" s="207">
        <f>ROUND((L103*0.9*I98+1.3*L103*0.9*M98+R103*F98),4)</f>
        <v>137.733</v>
      </c>
      <c r="X103" s="207">
        <f>ROUND((L103*I98+1.3*L103*M98+R103*F98),4)</f>
        <v>148.83000000000001</v>
      </c>
      <c r="Y103" s="385">
        <f>ROUND((O98*S103*E98*N98/1000000),4)</f>
        <v>0.27239999999999998</v>
      </c>
      <c r="Z103" s="385">
        <f>ROUND((P98*T103*E98*N98/1000000),4)</f>
        <v>7.6300000000000007E-2</v>
      </c>
      <c r="AA103" s="385">
        <f>ROUND((Q98*U103*E98*N98/1000000),4)</f>
        <v>3.5299999999999998E-2</v>
      </c>
      <c r="AB103" s="931" t="s">
        <v>65</v>
      </c>
      <c r="AC103" s="932" t="s">
        <v>66</v>
      </c>
      <c r="AD103" s="933">
        <f>ROUND((((W103*D98)/1800)),4)</f>
        <v>7.6499999999999999E-2</v>
      </c>
      <c r="AE103" s="933">
        <f>ROUND(((Y103+Z103+AA103)),4)</f>
        <v>0.38400000000000001</v>
      </c>
      <c r="AF103" s="61">
        <f>SUM(AD98:AD103)</f>
        <v>0.2162</v>
      </c>
      <c r="AG103" s="61">
        <f>SUM(AE98:AE103)</f>
        <v>1.1282000000000001</v>
      </c>
      <c r="AH103" s="61"/>
      <c r="AI103" s="61"/>
    </row>
    <row r="104" spans="1:35" s="417" customFormat="1" ht="15" customHeight="1" x14ac:dyDescent="0.2">
      <c r="A104" s="1449" t="s">
        <v>357</v>
      </c>
      <c r="B104" s="1450"/>
      <c r="C104" s="1451"/>
      <c r="D104" s="1451"/>
      <c r="E104" s="1451"/>
      <c r="F104" s="1451"/>
      <c r="G104" s="1451"/>
      <c r="H104" s="1451"/>
      <c r="I104" s="1451"/>
      <c r="J104" s="1451"/>
      <c r="K104" s="1451"/>
      <c r="L104" s="1451"/>
      <c r="M104" s="1451"/>
      <c r="N104" s="1451"/>
      <c r="O104" s="1451"/>
      <c r="P104" s="1451"/>
      <c r="Q104" s="1451"/>
      <c r="R104" s="1451"/>
      <c r="S104" s="1451"/>
      <c r="T104" s="1451"/>
      <c r="U104" s="1451"/>
      <c r="V104" s="1451"/>
      <c r="W104" s="1451"/>
      <c r="X104" s="1451"/>
      <c r="Y104" s="1451"/>
      <c r="Z104" s="1451"/>
      <c r="AA104" s="1451"/>
      <c r="AB104" s="1451"/>
      <c r="AC104" s="1451"/>
      <c r="AD104" s="1451"/>
      <c r="AE104" s="1452"/>
      <c r="AF104" s="61"/>
      <c r="AG104" s="61"/>
      <c r="AH104" s="61"/>
      <c r="AI104" s="61"/>
    </row>
    <row r="105" spans="1:35" s="417" customFormat="1" ht="15" customHeight="1" x14ac:dyDescent="0.2">
      <c r="A105" s="548" t="s">
        <v>358</v>
      </c>
      <c r="B105" s="746" t="s">
        <v>343</v>
      </c>
      <c r="C105" s="212">
        <v>4</v>
      </c>
      <c r="D105" s="170">
        <v>1</v>
      </c>
      <c r="E105" s="170">
        <v>1</v>
      </c>
      <c r="F105" s="170">
        <v>6</v>
      </c>
      <c r="G105" s="170">
        <v>60</v>
      </c>
      <c r="H105" s="170">
        <f>(8-1-0.75*2)*60*E105-J105-8*0.12*60</f>
        <v>57.900000000000006</v>
      </c>
      <c r="I105" s="170">
        <v>14</v>
      </c>
      <c r="J105" s="170">
        <f>(8-1-0.75*2)*0.65*60*E105</f>
        <v>214.5</v>
      </c>
      <c r="K105" s="170">
        <v>2.4700000000000002</v>
      </c>
      <c r="L105" s="170">
        <v>2.4700000000000002</v>
      </c>
      <c r="M105" s="170">
        <v>10</v>
      </c>
      <c r="N105" s="170">
        <f>D105/E105</f>
        <v>1</v>
      </c>
      <c r="O105" s="170">
        <v>180</v>
      </c>
      <c r="P105" s="170">
        <v>47</v>
      </c>
      <c r="Q105" s="211">
        <v>20</v>
      </c>
      <c r="R105" s="170">
        <v>0.48</v>
      </c>
      <c r="S105" s="382">
        <f>ROUND((K105*H105+1.3*K105*J105+R105*G105),4)</f>
        <v>860.57249999999999</v>
      </c>
      <c r="T105" s="382">
        <f>ROUND((L105*H105+1.3*L105*J105+R105*G105),4)</f>
        <v>860.57249999999999</v>
      </c>
      <c r="U105" s="382">
        <f>ROUND((L105*H105+1.3*L105*J105+R105*G105),4)</f>
        <v>860.57249999999999</v>
      </c>
      <c r="V105" s="382">
        <f>ROUND((K105*I105+1.3*K105*M105+R105*F105),4)</f>
        <v>69.569999999999993</v>
      </c>
      <c r="W105" s="382">
        <f>ROUND((L105*I105+1.3*L105*M105+R105*F105),4)</f>
        <v>69.569999999999993</v>
      </c>
      <c r="X105" s="382">
        <f>ROUND((L105*I105+1.3*L105*M105+R105*F105),4)</f>
        <v>69.569999999999993</v>
      </c>
      <c r="Y105" s="395">
        <f>ROUND((O105*S105*E105*N105/1000000),4)</f>
        <v>0.15490000000000001</v>
      </c>
      <c r="Z105" s="395">
        <f>ROUND((P105*T105*E105*N105/1000000),4)</f>
        <v>4.0399999999999998E-2</v>
      </c>
      <c r="AA105" s="395">
        <f>ROUND((Q105*U105*E105*N105/1000000),4)</f>
        <v>1.72E-2</v>
      </c>
      <c r="AB105" s="931" t="s">
        <v>48</v>
      </c>
      <c r="AC105" s="932" t="s">
        <v>49</v>
      </c>
      <c r="AD105" s="939">
        <f>ROUND((((W105*D105)/1800)*0.8),4)</f>
        <v>3.09E-2</v>
      </c>
      <c r="AE105" s="939">
        <f>ROUND(((Y105+Z105+AA105)*0.8),4)</f>
        <v>0.17</v>
      </c>
      <c r="AF105" s="61"/>
      <c r="AG105" s="61"/>
      <c r="AH105" s="61"/>
      <c r="AI105" s="61"/>
    </row>
    <row r="106" spans="1:35" s="417" customFormat="1" ht="15" customHeight="1" x14ac:dyDescent="0.2">
      <c r="A106" s="556"/>
      <c r="B106" s="386" t="s">
        <v>359</v>
      </c>
      <c r="C106" s="387"/>
      <c r="D106" s="209"/>
      <c r="E106" s="209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388"/>
      <c r="S106" s="396"/>
      <c r="T106" s="396"/>
      <c r="U106" s="396"/>
      <c r="V106" s="396"/>
      <c r="W106" s="396"/>
      <c r="X106" s="396"/>
      <c r="Y106" s="396"/>
      <c r="Z106" s="396"/>
      <c r="AA106" s="396"/>
      <c r="AB106" s="931" t="s">
        <v>51</v>
      </c>
      <c r="AC106" s="932" t="s">
        <v>52</v>
      </c>
      <c r="AD106" s="939">
        <f>ROUND((((W105*D105)/1800)*0.13),4)</f>
        <v>5.0000000000000001E-3</v>
      </c>
      <c r="AE106" s="939">
        <f>ROUND(((Y105+Z105+AA105)*0.13),4)</f>
        <v>2.76E-2</v>
      </c>
      <c r="AF106" s="61"/>
      <c r="AG106" s="61"/>
      <c r="AH106" s="61"/>
      <c r="AI106" s="61"/>
    </row>
    <row r="107" spans="1:35" s="417" customFormat="1" ht="15" customHeight="1" x14ac:dyDescent="0.2">
      <c r="A107" s="550"/>
      <c r="B107" s="209" t="s">
        <v>360</v>
      </c>
      <c r="C107" s="389"/>
      <c r="D107" s="209"/>
      <c r="E107" s="209"/>
      <c r="F107" s="209"/>
      <c r="G107" s="209"/>
      <c r="H107" s="209"/>
      <c r="I107" s="209"/>
      <c r="J107" s="209"/>
      <c r="K107" s="209">
        <v>0.19</v>
      </c>
      <c r="L107" s="209">
        <v>0.23</v>
      </c>
      <c r="M107" s="209"/>
      <c r="N107" s="209"/>
      <c r="O107" s="209"/>
      <c r="P107" s="209"/>
      <c r="Q107" s="209"/>
      <c r="R107" s="133">
        <v>9.7000000000000003E-2</v>
      </c>
      <c r="S107" s="382">
        <f>ROUND((K107*H105+1.3*K107*J105+R107*G105),4)</f>
        <v>69.802499999999995</v>
      </c>
      <c r="T107" s="382">
        <f>ROUND((L107*0.9*H105+1.3*L107*0.9*J105+R107*G105),4)</f>
        <v>75.527299999999997</v>
      </c>
      <c r="U107" s="382">
        <f>ROUND((L107*H105+1.3*L107*J105+R107*G105),4)</f>
        <v>83.272499999999994</v>
      </c>
      <c r="V107" s="382">
        <f>ROUND((K107*I105+1.3*K107*M105+R107*F105),4)</f>
        <v>5.7119999999999997</v>
      </c>
      <c r="W107" s="382">
        <f>ROUND((L107*0.9*I105+1.3*L107*0.9*M105+R107*F105),4)</f>
        <v>6.1710000000000003</v>
      </c>
      <c r="X107" s="382">
        <f>ROUND((L107*I105+1.3*L107*M105+R107*F105),4)</f>
        <v>6.7919999999999998</v>
      </c>
      <c r="Y107" s="395">
        <f>ROUND((O105*S107*E105*N105/1000000),4)</f>
        <v>1.26E-2</v>
      </c>
      <c r="Z107" s="395">
        <f>ROUND((P105*T107*E105*N105/1000000),4)</f>
        <v>3.5000000000000001E-3</v>
      </c>
      <c r="AA107" s="395">
        <f>ROUND((Q105*U107*E105*N105/1000000),4)</f>
        <v>1.6999999999999999E-3</v>
      </c>
      <c r="AB107" s="931" t="s">
        <v>56</v>
      </c>
      <c r="AC107" s="932" t="s">
        <v>57</v>
      </c>
      <c r="AD107" s="939">
        <f>ROUND((((W107*D105)/1800)),4)</f>
        <v>3.3999999999999998E-3</v>
      </c>
      <c r="AE107" s="939">
        <f>ROUND(((Y107+Z107+AA107)),5)</f>
        <v>1.78E-2</v>
      </c>
      <c r="AF107" s="61"/>
      <c r="AG107" s="61"/>
      <c r="AH107" s="61"/>
      <c r="AI107" s="61"/>
    </row>
    <row r="108" spans="1:35" s="417" customFormat="1" ht="15" customHeight="1" x14ac:dyDescent="0.2">
      <c r="A108" s="550"/>
      <c r="B108" s="209"/>
      <c r="C108" s="387"/>
      <c r="D108" s="209"/>
      <c r="E108" s="209"/>
      <c r="F108" s="209"/>
      <c r="G108" s="209"/>
      <c r="H108" s="209"/>
      <c r="I108" s="209"/>
      <c r="J108" s="209"/>
      <c r="K108" s="209">
        <v>0.43</v>
      </c>
      <c r="L108" s="209">
        <v>0.51</v>
      </c>
      <c r="M108" s="209"/>
      <c r="N108" s="209"/>
      <c r="O108" s="209"/>
      <c r="P108" s="209"/>
      <c r="Q108" s="209"/>
      <c r="R108" s="133">
        <v>0.3</v>
      </c>
      <c r="S108" s="382">
        <f>ROUND((K108*H105+1.3*K108*J105+R108*G105),4)</f>
        <v>162.80250000000001</v>
      </c>
      <c r="T108" s="382">
        <f>ROUND((L108*0.9*H105+1.3*L108*0.9*J105+R108*G105),4)</f>
        <v>172.56829999999999</v>
      </c>
      <c r="U108" s="382">
        <f>ROUND((L108*H105+1.3*L108*J105+R108*G105),4)</f>
        <v>189.74250000000001</v>
      </c>
      <c r="V108" s="382">
        <f>ROUND((K108*I105+1.3*K108*M105+R108*F105),4)</f>
        <v>13.41</v>
      </c>
      <c r="W108" s="382">
        <f>ROUND((L108*0.9*I105+1.3*L108*0.9*M105+R108*F105),4)</f>
        <v>14.193</v>
      </c>
      <c r="X108" s="382">
        <f>ROUND((L108*I105+1.3*M105+R108*F105),4)</f>
        <v>21.94</v>
      </c>
      <c r="Y108" s="395">
        <f>ROUND((O105*S108*E105*N105/1000000),4)</f>
        <v>2.93E-2</v>
      </c>
      <c r="Z108" s="395">
        <f>ROUND((P105*T108*E105*N105/1000000),4)</f>
        <v>8.0999999999999996E-3</v>
      </c>
      <c r="AA108" s="395">
        <f>ROUND((Q105*U108*E105*N105/1000000),4)</f>
        <v>3.8E-3</v>
      </c>
      <c r="AB108" s="931" t="s">
        <v>177</v>
      </c>
      <c r="AC108" s="932" t="s">
        <v>178</v>
      </c>
      <c r="AD108" s="939">
        <f>ROUND((((W108*D105)/1800)),4)</f>
        <v>7.9000000000000008E-3</v>
      </c>
      <c r="AE108" s="939">
        <f>ROUND(((Y108+Z108+AA108)),4)</f>
        <v>4.1200000000000001E-2</v>
      </c>
      <c r="AF108" s="61"/>
      <c r="AG108" s="61"/>
      <c r="AH108" s="61"/>
      <c r="AI108" s="61"/>
    </row>
    <row r="109" spans="1:35" s="417" customFormat="1" ht="15" customHeight="1" x14ac:dyDescent="0.2">
      <c r="A109" s="550"/>
      <c r="B109" s="209"/>
      <c r="C109" s="387"/>
      <c r="D109" s="209"/>
      <c r="E109" s="209"/>
      <c r="F109" s="209"/>
      <c r="G109" s="209"/>
      <c r="H109" s="209"/>
      <c r="I109" s="209"/>
      <c r="J109" s="209"/>
      <c r="K109" s="209">
        <v>0.27</v>
      </c>
      <c r="L109" s="209">
        <v>0.41</v>
      </c>
      <c r="M109" s="209"/>
      <c r="N109" s="209"/>
      <c r="O109" s="209"/>
      <c r="P109" s="209"/>
      <c r="Q109" s="209"/>
      <c r="R109" s="133">
        <v>0.06</v>
      </c>
      <c r="S109" s="382">
        <f>ROUND((K109*H105+1.3*K109*J105+R109*G105),4)</f>
        <v>94.522499999999994</v>
      </c>
      <c r="T109" s="382">
        <f>ROUND((L109*0.9*H105+1.3*L109*0.9*J105+R109*G105),4)</f>
        <v>127.8608</v>
      </c>
      <c r="U109" s="382">
        <f>ROUND((L109*H105+1.3*L109*J105+R109*G105),4)</f>
        <v>141.66749999999999</v>
      </c>
      <c r="V109" s="382">
        <f>ROUND((K109*I105+1.3*K109*M105+R109*F105),4)</f>
        <v>7.65</v>
      </c>
      <c r="W109" s="382">
        <f>ROUND((L109*0.9*I105+1.3*L109*0.9*M105+R109*F105),4)</f>
        <v>10.323</v>
      </c>
      <c r="X109" s="382">
        <f>ROUND((L109*I105+1.3*L109*M105+R109*F105),4)</f>
        <v>11.43</v>
      </c>
      <c r="Y109" s="395">
        <f>ROUND((O105*S109*E105*N105/1000000),4)</f>
        <v>1.7000000000000001E-2</v>
      </c>
      <c r="Z109" s="395">
        <f>ROUND((P105*T109*E105*N105/1000000),4)</f>
        <v>6.0000000000000001E-3</v>
      </c>
      <c r="AA109" s="395">
        <f>ROUND((Q105*U109*E105*N105/1000000),4)</f>
        <v>2.8E-3</v>
      </c>
      <c r="AB109" s="931" t="s">
        <v>61</v>
      </c>
      <c r="AC109" s="932" t="s">
        <v>62</v>
      </c>
      <c r="AD109" s="939">
        <f>ROUND((((W109*D105)/1800)),4)</f>
        <v>5.7000000000000002E-3</v>
      </c>
      <c r="AE109" s="939">
        <f>ROUND(((Y109+Z109+AA109)),4)</f>
        <v>2.58E-2</v>
      </c>
      <c r="AF109" s="61"/>
      <c r="AG109" s="61"/>
      <c r="AH109" s="61"/>
      <c r="AI109" s="61"/>
    </row>
    <row r="110" spans="1:35" s="417" customFormat="1" ht="15" customHeight="1" x14ac:dyDescent="0.2">
      <c r="A110" s="557"/>
      <c r="B110" s="210"/>
      <c r="C110" s="214"/>
      <c r="D110" s="210"/>
      <c r="E110" s="210"/>
      <c r="F110" s="210"/>
      <c r="G110" s="210"/>
      <c r="H110" s="210"/>
      <c r="I110" s="210"/>
      <c r="J110" s="210"/>
      <c r="K110" s="210">
        <v>1.29</v>
      </c>
      <c r="L110" s="210">
        <v>1.57</v>
      </c>
      <c r="M110" s="210"/>
      <c r="N110" s="210"/>
      <c r="O110" s="210"/>
      <c r="P110" s="210"/>
      <c r="Q110" s="210"/>
      <c r="R110" s="133">
        <v>2.4</v>
      </c>
      <c r="S110" s="383">
        <f>ROUND((K110*H105+1.3*K110*J105+R110*G105),4)</f>
        <v>578.40750000000003</v>
      </c>
      <c r="T110" s="383">
        <f>ROUND((L110*0.9*H105+1.3*L110*0.9*J105+R110*G105),4)</f>
        <v>619.82780000000002</v>
      </c>
      <c r="U110" s="383">
        <f>ROUND((L110*H105+1.3*L110*J105+R110*G105),4)</f>
        <v>672.69749999999999</v>
      </c>
      <c r="V110" s="383">
        <f>ROUND((K110*I105+1.3*K110*M105+R110*F105),4)</f>
        <v>49.23</v>
      </c>
      <c r="W110" s="383">
        <f>ROUND((L110*0.9*I105+1.3*L110*0.9*M105+R110*F105),4)</f>
        <v>52.551000000000002</v>
      </c>
      <c r="X110" s="383">
        <f>ROUND((L110*I105+1.3*L110*M105+R110*F105),4)</f>
        <v>56.79</v>
      </c>
      <c r="Y110" s="397">
        <f>ROUND((O105*S110*E105*N105/1000000),4)</f>
        <v>0.1041</v>
      </c>
      <c r="Z110" s="397">
        <f>ROUND((P105*T110*E105*N105/1000000),4)</f>
        <v>2.9100000000000001E-2</v>
      </c>
      <c r="AA110" s="397">
        <f>ROUND((Q105*U110*E105*N105/1000000),4)</f>
        <v>1.35E-2</v>
      </c>
      <c r="AB110" s="931" t="s">
        <v>65</v>
      </c>
      <c r="AC110" s="932" t="s">
        <v>66</v>
      </c>
      <c r="AD110" s="939">
        <f>ROUND((((W110*D105)/1800)),4)</f>
        <v>2.92E-2</v>
      </c>
      <c r="AE110" s="939">
        <f>ROUND(((Y110+Z110+AA110)),4)</f>
        <v>0.1467</v>
      </c>
      <c r="AF110" s="61">
        <f>SUM(AD105:AD110)</f>
        <v>8.2100000000000006E-2</v>
      </c>
      <c r="AG110" s="61">
        <f>SUM(AE105:AE110)</f>
        <v>0.42909999999999998</v>
      </c>
      <c r="AH110" s="61"/>
      <c r="AI110" s="61"/>
    </row>
    <row r="111" spans="1:35" s="417" customFormat="1" ht="15" customHeight="1" x14ac:dyDescent="0.2">
      <c r="A111" s="1449" t="s">
        <v>361</v>
      </c>
      <c r="B111" s="1450"/>
      <c r="C111" s="1451"/>
      <c r="D111" s="1451"/>
      <c r="E111" s="1451"/>
      <c r="F111" s="1451"/>
      <c r="G111" s="1451"/>
      <c r="H111" s="1451"/>
      <c r="I111" s="1451"/>
      <c r="J111" s="1451"/>
      <c r="K111" s="1451"/>
      <c r="L111" s="1451"/>
      <c r="M111" s="1451"/>
      <c r="N111" s="1451"/>
      <c r="O111" s="1451"/>
      <c r="P111" s="1451"/>
      <c r="Q111" s="1451"/>
      <c r="R111" s="1451"/>
      <c r="S111" s="1451"/>
      <c r="T111" s="1451"/>
      <c r="U111" s="1451"/>
      <c r="V111" s="1451"/>
      <c r="W111" s="1451"/>
      <c r="X111" s="1451"/>
      <c r="Y111" s="1451"/>
      <c r="Z111" s="1451"/>
      <c r="AA111" s="1451"/>
      <c r="AB111" s="1451"/>
      <c r="AC111" s="1451"/>
      <c r="AD111" s="1451"/>
      <c r="AE111" s="1452"/>
      <c r="AF111" s="61"/>
      <c r="AG111" s="61"/>
      <c r="AH111" s="61"/>
      <c r="AI111" s="61"/>
    </row>
    <row r="112" spans="1:35" s="417" customFormat="1" ht="15" customHeight="1" x14ac:dyDescent="0.2">
      <c r="A112" s="551" t="s">
        <v>362</v>
      </c>
      <c r="B112" s="566" t="s">
        <v>343</v>
      </c>
      <c r="C112" s="212">
        <v>3</v>
      </c>
      <c r="D112" s="170">
        <v>1</v>
      </c>
      <c r="E112" s="170">
        <v>1</v>
      </c>
      <c r="F112" s="170">
        <v>6</v>
      </c>
      <c r="G112" s="170">
        <v>60</v>
      </c>
      <c r="H112" s="170">
        <f>(8-1-0.75*2)*60*E112-J112-8*0.12*60</f>
        <v>57.900000000000006</v>
      </c>
      <c r="I112" s="170">
        <v>14</v>
      </c>
      <c r="J112" s="170">
        <f>(8-1-0.75*2)*0.65*60*E112</f>
        <v>214.5</v>
      </c>
      <c r="K112" s="170">
        <v>1.49</v>
      </c>
      <c r="L112" s="170">
        <v>1.49</v>
      </c>
      <c r="M112" s="170">
        <v>10</v>
      </c>
      <c r="N112" s="170">
        <f>D112/E112</f>
        <v>1</v>
      </c>
      <c r="O112" s="170">
        <v>180</v>
      </c>
      <c r="P112" s="170">
        <v>47</v>
      </c>
      <c r="Q112" s="211">
        <v>20</v>
      </c>
      <c r="R112" s="170">
        <v>0.28999999999999998</v>
      </c>
      <c r="S112" s="207">
        <f>ROUND((K112*H112+1.3*K112*J112+R112*G112),4)</f>
        <v>519.15750000000003</v>
      </c>
      <c r="T112" s="207">
        <f>ROUND((L112*H112+1.3*L112*J112+R112*G112),4)</f>
        <v>519.15750000000003</v>
      </c>
      <c r="U112" s="207">
        <f>ROUND((L112*H112+1.3*L112*J112+R112*G112),4)</f>
        <v>519.15750000000003</v>
      </c>
      <c r="V112" s="207">
        <f>ROUND((K112*I112+1.3*K112*M112+R112*F112),4)</f>
        <v>41.97</v>
      </c>
      <c r="W112" s="207">
        <f>ROUND((L112*I112+1.3*L112*M112+R112*F112),4)</f>
        <v>41.97</v>
      </c>
      <c r="X112" s="207">
        <f>ROUND((L112*I112+1.3*L112*M112+R112*F112),4)</f>
        <v>41.97</v>
      </c>
      <c r="Y112" s="385">
        <f>ROUND((O112*S112*E112*N112/1000000),4)</f>
        <v>9.3399999999999997E-2</v>
      </c>
      <c r="Z112" s="385">
        <f>ROUND((P112*T112*E112*N112/1000000),4)</f>
        <v>2.4400000000000002E-2</v>
      </c>
      <c r="AA112" s="385">
        <f>ROUND((Q112*U112*E112*N112/1000000),4)</f>
        <v>1.04E-2</v>
      </c>
      <c r="AB112" s="931" t="s">
        <v>48</v>
      </c>
      <c r="AC112" s="932" t="s">
        <v>49</v>
      </c>
      <c r="AD112" s="933">
        <f>ROUND((((W112*D112)/1800)*0.8),4)</f>
        <v>1.8700000000000001E-2</v>
      </c>
      <c r="AE112" s="933">
        <f>ROUND(((Y112+Z112+AA112)*0.8),4)</f>
        <v>0.1026</v>
      </c>
      <c r="AF112" s="61"/>
      <c r="AG112" s="61"/>
      <c r="AH112" s="61"/>
      <c r="AI112" s="61"/>
    </row>
    <row r="113" spans="1:35" s="417" customFormat="1" ht="15" customHeight="1" x14ac:dyDescent="0.2">
      <c r="A113" s="552"/>
      <c r="B113" s="399" t="s">
        <v>344</v>
      </c>
      <c r="C113" s="387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388"/>
      <c r="S113" s="215"/>
      <c r="T113" s="215"/>
      <c r="U113" s="215"/>
      <c r="V113" s="215"/>
      <c r="W113" s="215"/>
      <c r="X113" s="215"/>
      <c r="Y113" s="215"/>
      <c r="Z113" s="215"/>
      <c r="AA113" s="215"/>
      <c r="AB113" s="931" t="s">
        <v>51</v>
      </c>
      <c r="AC113" s="932" t="s">
        <v>52</v>
      </c>
      <c r="AD113" s="933">
        <f>ROUND((((W112*D112)/1800)*0.13),4)</f>
        <v>3.0000000000000001E-3</v>
      </c>
      <c r="AE113" s="933">
        <f>ROUND(((Y112+Z112+AA112)*0.13),4)</f>
        <v>1.67E-2</v>
      </c>
      <c r="AF113" s="61"/>
      <c r="AG113" s="61"/>
      <c r="AH113" s="61"/>
      <c r="AI113" s="61"/>
    </row>
    <row r="114" spans="1:35" s="417" customFormat="1" ht="15" customHeight="1" x14ac:dyDescent="0.2">
      <c r="A114" s="558"/>
      <c r="B114" s="387" t="s">
        <v>342</v>
      </c>
      <c r="C114" s="389"/>
      <c r="D114" s="209"/>
      <c r="E114" s="209"/>
      <c r="F114" s="209"/>
      <c r="G114" s="209"/>
      <c r="H114" s="209"/>
      <c r="I114" s="209"/>
      <c r="J114" s="209"/>
      <c r="K114" s="209">
        <v>0.12</v>
      </c>
      <c r="L114" s="209">
        <v>0.15</v>
      </c>
      <c r="M114" s="209"/>
      <c r="N114" s="209"/>
      <c r="O114" s="209"/>
      <c r="P114" s="209"/>
      <c r="Q114" s="209"/>
      <c r="R114" s="133">
        <v>5.8000000000000003E-2</v>
      </c>
      <c r="S114" s="207">
        <f>ROUND((K114*H112+1.3*K114*J112+R114*G112),4)</f>
        <v>43.89</v>
      </c>
      <c r="T114" s="207">
        <f>ROUND((L114*0.9*H112+1.3*L114*0.9*J112+R114*G112),4)</f>
        <v>48.941299999999998</v>
      </c>
      <c r="U114" s="207">
        <f>ROUND((L114*H112+1.3*L114*J112+R114*G112),4)</f>
        <v>53.9925</v>
      </c>
      <c r="V114" s="207">
        <f>ROUND((K114*I112+1.3*K114*M112+R114*F112),4)</f>
        <v>3.5880000000000001</v>
      </c>
      <c r="W114" s="207">
        <f>ROUND((L114*0.9*I112+1.3*L114*0.9*M112+R114*F112),4)</f>
        <v>3.9929999999999999</v>
      </c>
      <c r="X114" s="207">
        <f>ROUND((L114*I112+1.3*L114*M112+R114*F112),4)</f>
        <v>4.3979999999999997</v>
      </c>
      <c r="Y114" s="385">
        <f>ROUND((O112*S114*E112*N112/1000000),4)</f>
        <v>7.9000000000000008E-3</v>
      </c>
      <c r="Z114" s="385">
        <f>ROUND((P112*T114*E112*N112/1000000),4)</f>
        <v>2.3E-3</v>
      </c>
      <c r="AA114" s="385">
        <f>ROUND((Q112*U114*E112*N112/1000000),4)</f>
        <v>1.1000000000000001E-3</v>
      </c>
      <c r="AB114" s="931" t="s">
        <v>56</v>
      </c>
      <c r="AC114" s="932" t="s">
        <v>57</v>
      </c>
      <c r="AD114" s="933">
        <f>ROUND((((W114*D112)/1800)),4)</f>
        <v>2.2000000000000001E-3</v>
      </c>
      <c r="AE114" s="933">
        <f>ROUND(((Y114+Z114+AA114)),5)</f>
        <v>1.1299999999999999E-2</v>
      </c>
      <c r="AF114" s="61"/>
      <c r="AG114" s="61"/>
      <c r="AH114" s="61"/>
      <c r="AI114" s="61"/>
    </row>
    <row r="115" spans="1:35" s="417" customFormat="1" ht="15" customHeight="1" x14ac:dyDescent="0.2">
      <c r="A115" s="558"/>
      <c r="B115" s="387"/>
      <c r="C115" s="387"/>
      <c r="D115" s="209"/>
      <c r="E115" s="209"/>
      <c r="F115" s="209"/>
      <c r="G115" s="209"/>
      <c r="H115" s="209"/>
      <c r="I115" s="209"/>
      <c r="J115" s="209"/>
      <c r="K115" s="209">
        <v>0.26</v>
      </c>
      <c r="L115" s="209">
        <v>0.31</v>
      </c>
      <c r="M115" s="209"/>
      <c r="N115" s="209"/>
      <c r="O115" s="209"/>
      <c r="P115" s="209"/>
      <c r="Q115" s="209"/>
      <c r="R115" s="133">
        <v>0.18</v>
      </c>
      <c r="S115" s="207">
        <f>ROUND((K115*H112+1.3*K115*J112+R115*G112),4)</f>
        <v>98.355000000000004</v>
      </c>
      <c r="T115" s="207">
        <f>ROUND((L115*0.9*H112+1.3*L115*0.9*J112+R115*G112),4)</f>
        <v>104.7533</v>
      </c>
      <c r="U115" s="207">
        <f>ROUND((L115*H112+1.3*L115*J112+R115*G112),4)</f>
        <v>115.1925</v>
      </c>
      <c r="V115" s="207">
        <f>ROUND((K115*I112+1.3*K115*M112+R115*F112),4)</f>
        <v>8.1</v>
      </c>
      <c r="W115" s="207">
        <f>ROUND((L115*0.9*I112+1.3*L115*0.9*M112+R115*F112),4)</f>
        <v>8.6129999999999995</v>
      </c>
      <c r="X115" s="207">
        <f>ROUND((L115*I112+1.3*M112+R115*F112),4)</f>
        <v>18.420000000000002</v>
      </c>
      <c r="Y115" s="385">
        <f>ROUND((O112*S115*E112*N112/1000000),4)</f>
        <v>1.77E-2</v>
      </c>
      <c r="Z115" s="385">
        <f>ROUND((P112*T115*E112*N112/1000000),4)</f>
        <v>4.8999999999999998E-3</v>
      </c>
      <c r="AA115" s="385">
        <f>ROUND((Q112*U115*E112*N112/1000000),4)</f>
        <v>2.3E-3</v>
      </c>
      <c r="AB115" s="931" t="s">
        <v>177</v>
      </c>
      <c r="AC115" s="932" t="s">
        <v>178</v>
      </c>
      <c r="AD115" s="933">
        <f>ROUND((((W115*D112)/1800)),4)</f>
        <v>4.7999999999999996E-3</v>
      </c>
      <c r="AE115" s="933">
        <f>ROUND(((Y115+Z115+AA115)),4)</f>
        <v>2.4899999999999999E-2</v>
      </c>
      <c r="AF115" s="61"/>
      <c r="AG115" s="61"/>
      <c r="AH115" s="61"/>
      <c r="AI115" s="61"/>
    </row>
    <row r="116" spans="1:35" s="417" customFormat="1" ht="15" customHeight="1" x14ac:dyDescent="0.2">
      <c r="A116" s="558"/>
      <c r="B116" s="387"/>
      <c r="C116" s="387"/>
      <c r="D116" s="209"/>
      <c r="E116" s="209"/>
      <c r="F116" s="209"/>
      <c r="G116" s="209"/>
      <c r="H116" s="209"/>
      <c r="I116" s="209"/>
      <c r="J116" s="209"/>
      <c r="K116" s="209">
        <v>0.17</v>
      </c>
      <c r="L116" s="209">
        <v>0.25</v>
      </c>
      <c r="M116" s="209"/>
      <c r="N116" s="209"/>
      <c r="O116" s="209"/>
      <c r="P116" s="209"/>
      <c r="Q116" s="209"/>
      <c r="R116" s="133">
        <v>0.04</v>
      </c>
      <c r="S116" s="207">
        <f>ROUND((K116*H112+1.3*K116*J112+R116*G112),4)</f>
        <v>59.647500000000001</v>
      </c>
      <c r="T116" s="207">
        <f>ROUND((L116*0.9*H112+1.3*L116*0.9*J112+R116*G112),4)</f>
        <v>78.168800000000005</v>
      </c>
      <c r="U116" s="207">
        <f>ROUND((L116*H112+1.3*L116*J112+R116*G112),4)</f>
        <v>86.587500000000006</v>
      </c>
      <c r="V116" s="207">
        <f>ROUND((K116*I112+1.3*K116*M112+R116*F112),4)</f>
        <v>4.83</v>
      </c>
      <c r="W116" s="207">
        <f>ROUND((L116*0.9*I112+1.3*L116*0.9*M112+R116*F112),4)</f>
        <v>6.3150000000000004</v>
      </c>
      <c r="X116" s="207">
        <f>ROUND((L116*I112+1.3*L116*M112+R116*F112),4)</f>
        <v>6.99</v>
      </c>
      <c r="Y116" s="385">
        <f>ROUND((O112*S116*E112*N112/1000000),4)</f>
        <v>1.0699999999999999E-2</v>
      </c>
      <c r="Z116" s="385">
        <f>ROUND((P112*T116*E112*N112/1000000),4)</f>
        <v>3.7000000000000002E-3</v>
      </c>
      <c r="AA116" s="385">
        <f>ROUND((Q112*U116*E112*N112/1000000),4)</f>
        <v>1.6999999999999999E-3</v>
      </c>
      <c r="AB116" s="931" t="s">
        <v>61</v>
      </c>
      <c r="AC116" s="932" t="s">
        <v>62</v>
      </c>
      <c r="AD116" s="933">
        <f>ROUND((((W116*D112)/1800)),4)</f>
        <v>3.5000000000000001E-3</v>
      </c>
      <c r="AE116" s="933">
        <f>ROUND(((Y116+Z116+AA116)),4)</f>
        <v>1.61E-2</v>
      </c>
      <c r="AF116" s="61"/>
      <c r="AG116" s="61"/>
      <c r="AH116" s="61"/>
      <c r="AI116" s="61"/>
    </row>
    <row r="117" spans="1:35" s="417" customFormat="1" ht="15" customHeight="1" x14ac:dyDescent="0.2">
      <c r="A117" s="558"/>
      <c r="B117" s="214"/>
      <c r="C117" s="214"/>
      <c r="D117" s="210"/>
      <c r="E117" s="210"/>
      <c r="F117" s="210"/>
      <c r="G117" s="210"/>
      <c r="H117" s="210"/>
      <c r="I117" s="210"/>
      <c r="J117" s="210"/>
      <c r="K117" s="210">
        <v>0.77</v>
      </c>
      <c r="L117" s="210">
        <v>0.94</v>
      </c>
      <c r="M117" s="210"/>
      <c r="N117" s="210"/>
      <c r="O117" s="210"/>
      <c r="P117" s="210"/>
      <c r="Q117" s="210"/>
      <c r="R117" s="133">
        <v>1.44</v>
      </c>
      <c r="S117" s="134">
        <f>ROUND((K117*H112+1.3*K117*J112+R117*G112),4)</f>
        <v>345.69749999999999</v>
      </c>
      <c r="T117" s="134">
        <f>ROUND((L117*0.9*H112+1.3*L117*0.9*J112+R117*G112),4)</f>
        <v>371.29050000000001</v>
      </c>
      <c r="U117" s="134">
        <f>ROUND((L117*H112+1.3*L117*J112+R117*G112),4)</f>
        <v>402.94499999999999</v>
      </c>
      <c r="V117" s="134">
        <f>ROUND((K117*I112+1.3*K117*M112+R117*F112),4)</f>
        <v>29.43</v>
      </c>
      <c r="W117" s="134">
        <f>ROUND((L117*0.9*I112+1.3*L117*0.9*M112+R117*F112),4)</f>
        <v>31.481999999999999</v>
      </c>
      <c r="X117" s="134">
        <f>ROUND((L117*I112+1.3*L117*M112+R117*F112),4)</f>
        <v>34.020000000000003</v>
      </c>
      <c r="Y117" s="394">
        <f>ROUND((O112*S117*E112*N112/1000000),4)</f>
        <v>6.2199999999999998E-2</v>
      </c>
      <c r="Z117" s="394">
        <f>ROUND((P112*T117*E112*N112/1000000),4)</f>
        <v>1.7500000000000002E-2</v>
      </c>
      <c r="AA117" s="394">
        <f>ROUND((Q112*U117*E112*N112/1000000),4)</f>
        <v>8.0999999999999996E-3</v>
      </c>
      <c r="AB117" s="931" t="s">
        <v>65</v>
      </c>
      <c r="AC117" s="932" t="s">
        <v>66</v>
      </c>
      <c r="AD117" s="933">
        <f>ROUND((((W117*D112)/1800)),4)</f>
        <v>1.7500000000000002E-2</v>
      </c>
      <c r="AE117" s="933">
        <f>ROUND(((Y117+Z117+AA117)),4)</f>
        <v>8.7800000000000003E-2</v>
      </c>
      <c r="AF117" s="61"/>
      <c r="AG117" s="61"/>
      <c r="AH117" s="61"/>
      <c r="AI117" s="61"/>
    </row>
    <row r="118" spans="1:35" s="417" customFormat="1" ht="15" customHeight="1" x14ac:dyDescent="0.2">
      <c r="A118" s="559"/>
      <c r="B118" s="566" t="s">
        <v>363</v>
      </c>
      <c r="C118" s="212">
        <v>6</v>
      </c>
      <c r="D118" s="170">
        <v>1</v>
      </c>
      <c r="E118" s="170">
        <v>1</v>
      </c>
      <c r="F118" s="170">
        <v>6</v>
      </c>
      <c r="G118" s="170">
        <v>60</v>
      </c>
      <c r="H118" s="170">
        <f>(8-1-0.75*2)*60*E118-J118-8*0.12*60</f>
        <v>57.900000000000006</v>
      </c>
      <c r="I118" s="170">
        <v>14</v>
      </c>
      <c r="J118" s="170">
        <f>(8-1-0.75*2)*0.65*60*E118</f>
        <v>214.5</v>
      </c>
      <c r="K118" s="207">
        <v>6.47</v>
      </c>
      <c r="L118" s="207">
        <v>6.47</v>
      </c>
      <c r="M118" s="170">
        <v>10</v>
      </c>
      <c r="N118" s="170">
        <f>D118/E118</f>
        <v>1</v>
      </c>
      <c r="O118" s="170">
        <v>180</v>
      </c>
      <c r="P118" s="170">
        <v>47</v>
      </c>
      <c r="Q118" s="211">
        <v>20</v>
      </c>
      <c r="R118" s="211">
        <v>1.27</v>
      </c>
      <c r="S118" s="207">
        <f>ROUND((K118*H118+1.3*K118*J118+R118*G118),4)</f>
        <v>2254.9724999999999</v>
      </c>
      <c r="T118" s="207">
        <f>ROUND((L118*H118+1.3*L118*J118+R118*G118),4)</f>
        <v>2254.9724999999999</v>
      </c>
      <c r="U118" s="207">
        <f>ROUND((L118*H118+1.3*L118*J118+R118*G118),4)</f>
        <v>2254.9724999999999</v>
      </c>
      <c r="V118" s="207">
        <f>ROUND((K118*I118+1.3*K118*M118+R118*F118),4)</f>
        <v>182.31</v>
      </c>
      <c r="W118" s="207">
        <f>ROUND((L118*I118+1.3*L118*M118+R118*F118),4)</f>
        <v>182.31</v>
      </c>
      <c r="X118" s="207">
        <f>ROUND((L118*I118+1.3*L118*M118+R118*F118),4)</f>
        <v>182.31</v>
      </c>
      <c r="Y118" s="385">
        <f>ROUND((O118*S118*E118*N118/1000000),4)</f>
        <v>0.40589999999999998</v>
      </c>
      <c r="Z118" s="385">
        <f>ROUND((P118*T118*E118*N118/1000000),4)</f>
        <v>0.106</v>
      </c>
      <c r="AA118" s="385">
        <f>ROUND((Q118*U118*E118*N118/1000000),4)</f>
        <v>4.5100000000000001E-2</v>
      </c>
      <c r="AB118" s="931" t="s">
        <v>48</v>
      </c>
      <c r="AC118" s="932" t="s">
        <v>49</v>
      </c>
      <c r="AD118" s="933">
        <f>ROUND((((W118*D118)/1800)*0.8),4)</f>
        <v>8.1000000000000003E-2</v>
      </c>
      <c r="AE118" s="933">
        <f>ROUND(((Y118+Z118+AA118)*0.8),4)</f>
        <v>0.4456</v>
      </c>
      <c r="AF118" s="61"/>
      <c r="AG118" s="61"/>
      <c r="AH118" s="61"/>
      <c r="AI118" s="61"/>
    </row>
    <row r="119" spans="1:35" s="417" customFormat="1" ht="15" customHeight="1" x14ac:dyDescent="0.2">
      <c r="A119" s="559"/>
      <c r="B119" s="399" t="s">
        <v>364</v>
      </c>
      <c r="C119" s="387"/>
      <c r="D119" s="209"/>
      <c r="E119" s="209"/>
      <c r="F119" s="209"/>
      <c r="G119" s="209"/>
      <c r="H119" s="209"/>
      <c r="I119" s="209"/>
      <c r="J119" s="209"/>
      <c r="K119" s="210"/>
      <c r="L119" s="210"/>
      <c r="M119" s="209"/>
      <c r="N119" s="209"/>
      <c r="O119" s="209"/>
      <c r="P119" s="209"/>
      <c r="Q119" s="209"/>
      <c r="R119" s="213"/>
      <c r="S119" s="215"/>
      <c r="T119" s="215"/>
      <c r="U119" s="215"/>
      <c r="V119" s="215"/>
      <c r="W119" s="215"/>
      <c r="X119" s="215"/>
      <c r="Y119" s="215"/>
      <c r="Z119" s="215"/>
      <c r="AA119" s="215"/>
      <c r="AB119" s="931" t="s">
        <v>51</v>
      </c>
      <c r="AC119" s="932" t="s">
        <v>52</v>
      </c>
      <c r="AD119" s="933">
        <f>ROUND((((W118*D118)/1800)*0.13),4)</f>
        <v>1.32E-2</v>
      </c>
      <c r="AE119" s="933">
        <f>ROUND(((Y118+Z118+AA118)*0.13),4)</f>
        <v>7.2400000000000006E-2</v>
      </c>
      <c r="AF119" s="61"/>
      <c r="AG119" s="61"/>
      <c r="AH119" s="61"/>
      <c r="AI119" s="61"/>
    </row>
    <row r="120" spans="1:35" s="417" customFormat="1" ht="15" customHeight="1" x14ac:dyDescent="0.2">
      <c r="A120" s="559"/>
      <c r="B120" s="387" t="s">
        <v>341</v>
      </c>
      <c r="C120" s="389"/>
      <c r="D120" s="209"/>
      <c r="E120" s="209"/>
      <c r="F120" s="209"/>
      <c r="G120" s="209"/>
      <c r="H120" s="209"/>
      <c r="I120" s="209"/>
      <c r="J120" s="209"/>
      <c r="K120" s="391">
        <v>0.51</v>
      </c>
      <c r="L120" s="391">
        <v>0.63</v>
      </c>
      <c r="M120" s="209"/>
      <c r="N120" s="209"/>
      <c r="O120" s="209"/>
      <c r="P120" s="209"/>
      <c r="Q120" s="209"/>
      <c r="R120" s="392">
        <v>0.25</v>
      </c>
      <c r="S120" s="207">
        <f>ROUND((K120*H118+1.3*K120*J118+R120*G118),4)</f>
        <v>186.74250000000001</v>
      </c>
      <c r="T120" s="207">
        <f>ROUND((L120*0.9*H118+1.3*L120*0.9*J118+R120*G118),4)</f>
        <v>205.93729999999999</v>
      </c>
      <c r="U120" s="207">
        <f>ROUND((L120*H118+1.3*L120*J118+R120*G118),4)</f>
        <v>227.1525</v>
      </c>
      <c r="V120" s="207">
        <f>ROUND((K120*I118+1.3*K120*M118+R120*F118),4)</f>
        <v>15.27</v>
      </c>
      <c r="W120" s="207">
        <f>ROUND((L120*0.9*I118+1.3*L120*0.9*M118+R120*F118),4)</f>
        <v>16.809000000000001</v>
      </c>
      <c r="X120" s="207">
        <f>ROUND((L120*I118+1.3*L120*M118+R120*F118),4)</f>
        <v>18.510000000000002</v>
      </c>
      <c r="Y120" s="385">
        <f>ROUND((O118*S120*E118*N118/1000000),4)</f>
        <v>3.3599999999999998E-2</v>
      </c>
      <c r="Z120" s="385">
        <f>ROUND((P118*T120*E118*N118/1000000),4)</f>
        <v>9.7000000000000003E-3</v>
      </c>
      <c r="AA120" s="385">
        <f>ROUND((Q118*U120*E118*N118/1000000),4)</f>
        <v>4.4999999999999997E-3</v>
      </c>
      <c r="AB120" s="931" t="s">
        <v>56</v>
      </c>
      <c r="AC120" s="932" t="s">
        <v>57</v>
      </c>
      <c r="AD120" s="933">
        <f>ROUND((((W120*D118)/1800)),4)</f>
        <v>9.2999999999999992E-3</v>
      </c>
      <c r="AE120" s="933">
        <f>ROUND(((Y120+Z120+AA120)),5)</f>
        <v>4.7800000000000002E-2</v>
      </c>
      <c r="AF120" s="61"/>
      <c r="AG120" s="61"/>
      <c r="AH120" s="61"/>
      <c r="AI120" s="61"/>
    </row>
    <row r="121" spans="1:35" s="417" customFormat="1" ht="15" customHeight="1" x14ac:dyDescent="0.2">
      <c r="A121" s="559"/>
      <c r="B121" s="387"/>
      <c r="C121" s="387"/>
      <c r="D121" s="209"/>
      <c r="E121" s="209"/>
      <c r="F121" s="209"/>
      <c r="G121" s="209"/>
      <c r="H121" s="209"/>
      <c r="I121" s="209"/>
      <c r="J121" s="209"/>
      <c r="K121" s="391">
        <v>1.1399999999999999</v>
      </c>
      <c r="L121" s="391">
        <v>1.37</v>
      </c>
      <c r="M121" s="209"/>
      <c r="N121" s="209"/>
      <c r="O121" s="209"/>
      <c r="P121" s="209"/>
      <c r="Q121" s="209"/>
      <c r="R121" s="393">
        <v>0.79</v>
      </c>
      <c r="S121" s="207">
        <f>ROUND((K121*H118+1.3*K121*J118+R121*G118),4)</f>
        <v>431.29500000000002</v>
      </c>
      <c r="T121" s="207">
        <f>ROUND((L121*0.9*H118+1.3*L121*0.9*J118+R121*G118),4)</f>
        <v>462.61279999999999</v>
      </c>
      <c r="U121" s="207">
        <f>ROUND((L121*H118+1.3*L121*J118+R121*G118),4)</f>
        <v>508.7475</v>
      </c>
      <c r="V121" s="207">
        <f>ROUND((K121*I118+1.3*K121*M118+R121*F118),4)</f>
        <v>35.520000000000003</v>
      </c>
      <c r="W121" s="207">
        <f>ROUND((L121*0.9*I118+1.3*L121*0.9*M118+R121*F118),4)</f>
        <v>38.030999999999999</v>
      </c>
      <c r="X121" s="207">
        <f>ROUND((L121*I118+1.3*M118+R121*F118),4)</f>
        <v>36.92</v>
      </c>
      <c r="Y121" s="385">
        <f>ROUND((O118*S121*E118*N118/1000000),4)</f>
        <v>7.7600000000000002E-2</v>
      </c>
      <c r="Z121" s="385">
        <f>ROUND((P118*T121*E118*N118/1000000),4)</f>
        <v>2.1700000000000001E-2</v>
      </c>
      <c r="AA121" s="385">
        <f>ROUND((Q118*U121*E118*N118/1000000),4)</f>
        <v>1.0200000000000001E-2</v>
      </c>
      <c r="AB121" s="931" t="s">
        <v>177</v>
      </c>
      <c r="AC121" s="932" t="s">
        <v>178</v>
      </c>
      <c r="AD121" s="933">
        <f>ROUND((((W121*D118)/1800)),4)</f>
        <v>2.1100000000000001E-2</v>
      </c>
      <c r="AE121" s="933">
        <f>ROUND(((Y121+Z121+AA121)),4)</f>
        <v>0.1095</v>
      </c>
      <c r="AF121" s="61"/>
      <c r="AG121" s="61"/>
      <c r="AH121" s="61"/>
      <c r="AI121" s="61"/>
    </row>
    <row r="122" spans="1:35" s="417" customFormat="1" ht="15" customHeight="1" x14ac:dyDescent="0.2">
      <c r="A122" s="559"/>
      <c r="B122" s="387"/>
      <c r="C122" s="387"/>
      <c r="D122" s="209"/>
      <c r="E122" s="209"/>
      <c r="F122" s="209"/>
      <c r="G122" s="209"/>
      <c r="H122" s="209"/>
      <c r="I122" s="209"/>
      <c r="J122" s="209"/>
      <c r="K122" s="391">
        <v>0.72</v>
      </c>
      <c r="L122" s="391">
        <v>1.08</v>
      </c>
      <c r="M122" s="209"/>
      <c r="N122" s="209"/>
      <c r="O122" s="209"/>
      <c r="P122" s="209"/>
      <c r="Q122" s="209"/>
      <c r="R122" s="393">
        <v>0.17</v>
      </c>
      <c r="S122" s="207">
        <f>ROUND((K122*H118+1.3*K122*J118+R122*G118),4)</f>
        <v>252.66</v>
      </c>
      <c r="T122" s="207">
        <f>ROUND((L122*0.9*H118+1.3*L122*0.9*J118+R122*G118),4)</f>
        <v>337.52100000000002</v>
      </c>
      <c r="U122" s="207">
        <f>ROUND((L122*H118+1.3*L122*J118+R122*G118),4)</f>
        <v>373.89</v>
      </c>
      <c r="V122" s="207">
        <f>ROUND((K122*I118+1.3*K122*M118+R122*F118),4)</f>
        <v>20.46</v>
      </c>
      <c r="W122" s="207">
        <f>ROUND((L122*0.9*I118+1.3*L122*0.9*M118+R122*F118),4)</f>
        <v>27.263999999999999</v>
      </c>
      <c r="X122" s="207">
        <f>ROUND((L122*I118+1.3*L122*M118+R122*F118),4)</f>
        <v>30.18</v>
      </c>
      <c r="Y122" s="385">
        <f>ROUND((O118*S122*E118*N118/1000000),4)</f>
        <v>4.5499999999999999E-2</v>
      </c>
      <c r="Z122" s="385">
        <f>ROUND((P118*T122*E118*N118/1000000),4)</f>
        <v>1.5900000000000001E-2</v>
      </c>
      <c r="AA122" s="385">
        <f>ROUND((Q118*U122*E118*N118/1000000),4)</f>
        <v>7.4999999999999997E-3</v>
      </c>
      <c r="AB122" s="931" t="s">
        <v>61</v>
      </c>
      <c r="AC122" s="932" t="s">
        <v>62</v>
      </c>
      <c r="AD122" s="933">
        <f>ROUND((((W122*D118)/1800)),4)</f>
        <v>1.5100000000000001E-2</v>
      </c>
      <c r="AE122" s="933">
        <f>ROUND(((Y122+Z122+AA122)),4)</f>
        <v>6.8900000000000003E-2</v>
      </c>
      <c r="AF122" s="61"/>
      <c r="AG122" s="61"/>
      <c r="AH122" s="61"/>
      <c r="AI122" s="61"/>
    </row>
    <row r="123" spans="1:35" s="417" customFormat="1" ht="15" customHeight="1" x14ac:dyDescent="0.2">
      <c r="A123" s="512"/>
      <c r="B123" s="214"/>
      <c r="C123" s="214"/>
      <c r="D123" s="210"/>
      <c r="E123" s="210"/>
      <c r="F123" s="210"/>
      <c r="G123" s="210"/>
      <c r="H123" s="210"/>
      <c r="I123" s="210"/>
      <c r="J123" s="210"/>
      <c r="K123" s="391">
        <v>3.37</v>
      </c>
      <c r="L123" s="391">
        <v>4.1100000000000003</v>
      </c>
      <c r="M123" s="210"/>
      <c r="N123" s="210"/>
      <c r="O123" s="210"/>
      <c r="P123" s="210"/>
      <c r="Q123" s="210"/>
      <c r="R123" s="393">
        <v>6.31</v>
      </c>
      <c r="S123" s="207">
        <f>ROUND((K123*H118+1.3*K123*J118+R123*G118),4)</f>
        <v>1513.4475</v>
      </c>
      <c r="T123" s="207">
        <f>ROUND((L123*0.9*H118+1.3*L123*0.9*J118+R123*G118),4)</f>
        <v>1624.2383</v>
      </c>
      <c r="U123" s="207">
        <f>ROUND((L123*H118+1.3*L123*J118+R123*G118),4)</f>
        <v>1762.6424999999999</v>
      </c>
      <c r="V123" s="207">
        <f>ROUND((K123*I118+1.3*K123*M118+R123*F118),4)</f>
        <v>128.85</v>
      </c>
      <c r="W123" s="207">
        <f>ROUND((L123*0.9*I118+1.3*L123*0.9*M118+R123*F118),4)</f>
        <v>137.733</v>
      </c>
      <c r="X123" s="207">
        <f>ROUND((L123*I118+1.3*L123*M118+R123*F118),4)</f>
        <v>148.83000000000001</v>
      </c>
      <c r="Y123" s="385">
        <f>ROUND((O118*S123*E118*N118/1000000),4)</f>
        <v>0.27239999999999998</v>
      </c>
      <c r="Z123" s="385">
        <f>ROUND((P118*T123*E118*N118/1000000),4)</f>
        <v>7.6300000000000007E-2</v>
      </c>
      <c r="AA123" s="385">
        <f>ROUND((Q118*U123*E118*N118/1000000),4)</f>
        <v>3.5299999999999998E-2</v>
      </c>
      <c r="AB123" s="931" t="s">
        <v>65</v>
      </c>
      <c r="AC123" s="932" t="s">
        <v>66</v>
      </c>
      <c r="AD123" s="933">
        <f>ROUND((((W123*D118)/1800)),4)</f>
        <v>7.6499999999999999E-2</v>
      </c>
      <c r="AE123" s="933">
        <f>ROUND(((Y123+Z123+AA123)),4)</f>
        <v>0.38400000000000001</v>
      </c>
      <c r="AF123" s="61"/>
      <c r="AG123" s="61"/>
      <c r="AH123" s="61"/>
      <c r="AI123" s="61"/>
    </row>
    <row r="124" spans="1:35" s="417" customFormat="1" ht="15" customHeight="1" x14ac:dyDescent="0.2">
      <c r="A124" s="1481" t="s">
        <v>365</v>
      </c>
      <c r="B124" s="1482"/>
      <c r="C124" s="1482"/>
      <c r="D124" s="1482"/>
      <c r="E124" s="1482"/>
      <c r="F124" s="1482"/>
      <c r="G124" s="1482"/>
      <c r="H124" s="1482"/>
      <c r="I124" s="1482"/>
      <c r="J124" s="1482"/>
      <c r="K124" s="1482"/>
      <c r="L124" s="1482"/>
      <c r="M124" s="1482"/>
      <c r="N124" s="1482"/>
      <c r="O124" s="1482"/>
      <c r="P124" s="1482"/>
      <c r="Q124" s="1482"/>
      <c r="R124" s="1483"/>
      <c r="AB124" s="934" t="s">
        <v>48</v>
      </c>
      <c r="AC124" s="935" t="s">
        <v>49</v>
      </c>
      <c r="AD124" s="936">
        <f>MAX(AD112,AD118)</f>
        <v>8.1000000000000003E-2</v>
      </c>
      <c r="AE124" s="936">
        <f>AE112+AE118</f>
        <v>0.54820000000000002</v>
      </c>
      <c r="AF124" s="61"/>
      <c r="AG124" s="61"/>
      <c r="AH124" s="61"/>
      <c r="AI124" s="61"/>
    </row>
    <row r="125" spans="1:35" s="417" customFormat="1" ht="15" customHeight="1" x14ac:dyDescent="0.2">
      <c r="A125" s="1484"/>
      <c r="B125" s="1485"/>
      <c r="C125" s="1485"/>
      <c r="D125" s="1485"/>
      <c r="E125" s="1485"/>
      <c r="F125" s="1485"/>
      <c r="G125" s="1485"/>
      <c r="H125" s="1485"/>
      <c r="I125" s="1485"/>
      <c r="J125" s="1485"/>
      <c r="K125" s="1485"/>
      <c r="L125" s="1485"/>
      <c r="M125" s="1485"/>
      <c r="N125" s="1485"/>
      <c r="O125" s="1485"/>
      <c r="P125" s="1485"/>
      <c r="Q125" s="1485"/>
      <c r="R125" s="1486"/>
      <c r="AB125" s="934" t="s">
        <v>51</v>
      </c>
      <c r="AC125" s="935" t="s">
        <v>52</v>
      </c>
      <c r="AD125" s="936">
        <f t="shared" ref="AD125:AD129" si="0">MAX(AD113,AD119)</f>
        <v>1.32E-2</v>
      </c>
      <c r="AE125" s="936">
        <f t="shared" ref="AE125:AE129" si="1">AE113+AE119</f>
        <v>8.9100000000000013E-2</v>
      </c>
      <c r="AF125" s="61"/>
      <c r="AG125" s="61"/>
      <c r="AH125" s="61"/>
      <c r="AI125" s="61"/>
    </row>
    <row r="126" spans="1:35" s="417" customFormat="1" ht="15" customHeight="1" x14ac:dyDescent="0.2">
      <c r="A126" s="1484"/>
      <c r="B126" s="1485"/>
      <c r="C126" s="1485"/>
      <c r="D126" s="1485"/>
      <c r="E126" s="1485"/>
      <c r="F126" s="1485"/>
      <c r="G126" s="1485"/>
      <c r="H126" s="1485"/>
      <c r="I126" s="1485"/>
      <c r="J126" s="1485"/>
      <c r="K126" s="1485"/>
      <c r="L126" s="1485"/>
      <c r="M126" s="1485"/>
      <c r="N126" s="1485"/>
      <c r="O126" s="1485"/>
      <c r="P126" s="1485"/>
      <c r="Q126" s="1485"/>
      <c r="R126" s="1486"/>
      <c r="AB126" s="934" t="s">
        <v>56</v>
      </c>
      <c r="AC126" s="935" t="s">
        <v>57</v>
      </c>
      <c r="AD126" s="936">
        <f t="shared" si="0"/>
        <v>9.2999999999999992E-3</v>
      </c>
      <c r="AE126" s="936">
        <f t="shared" si="1"/>
        <v>5.91E-2</v>
      </c>
      <c r="AF126" s="61"/>
      <c r="AG126" s="61"/>
      <c r="AH126" s="61"/>
      <c r="AI126" s="61"/>
    </row>
    <row r="127" spans="1:35" s="417" customFormat="1" ht="15" customHeight="1" x14ac:dyDescent="0.2">
      <c r="A127" s="1484"/>
      <c r="B127" s="1485"/>
      <c r="C127" s="1485"/>
      <c r="D127" s="1485"/>
      <c r="E127" s="1485"/>
      <c r="F127" s="1485"/>
      <c r="G127" s="1485"/>
      <c r="H127" s="1485"/>
      <c r="I127" s="1485"/>
      <c r="J127" s="1485"/>
      <c r="K127" s="1485"/>
      <c r="L127" s="1485"/>
      <c r="M127" s="1485"/>
      <c r="N127" s="1485"/>
      <c r="O127" s="1485"/>
      <c r="P127" s="1485"/>
      <c r="Q127" s="1485"/>
      <c r="R127" s="1486"/>
      <c r="AB127" s="934" t="s">
        <v>177</v>
      </c>
      <c r="AC127" s="935" t="s">
        <v>178</v>
      </c>
      <c r="AD127" s="936">
        <f t="shared" si="0"/>
        <v>2.1100000000000001E-2</v>
      </c>
      <c r="AE127" s="936">
        <f t="shared" si="1"/>
        <v>0.13439999999999999</v>
      </c>
      <c r="AF127" s="61"/>
      <c r="AG127" s="61"/>
      <c r="AH127" s="61"/>
      <c r="AI127" s="61"/>
    </row>
    <row r="128" spans="1:35" s="417" customFormat="1" ht="15" customHeight="1" x14ac:dyDescent="0.2">
      <c r="A128" s="1484"/>
      <c r="B128" s="1485"/>
      <c r="C128" s="1485"/>
      <c r="D128" s="1485"/>
      <c r="E128" s="1485"/>
      <c r="F128" s="1485"/>
      <c r="G128" s="1485"/>
      <c r="H128" s="1485"/>
      <c r="I128" s="1485"/>
      <c r="J128" s="1485"/>
      <c r="K128" s="1485"/>
      <c r="L128" s="1485"/>
      <c r="M128" s="1485"/>
      <c r="N128" s="1485"/>
      <c r="O128" s="1485"/>
      <c r="P128" s="1485"/>
      <c r="Q128" s="1485"/>
      <c r="R128" s="1486"/>
      <c r="AB128" s="934" t="s">
        <v>61</v>
      </c>
      <c r="AC128" s="935" t="s">
        <v>62</v>
      </c>
      <c r="AD128" s="936">
        <f t="shared" si="0"/>
        <v>1.5100000000000001E-2</v>
      </c>
      <c r="AE128" s="936">
        <f t="shared" si="1"/>
        <v>8.5000000000000006E-2</v>
      </c>
      <c r="AF128" s="61"/>
      <c r="AG128" s="61"/>
      <c r="AH128" s="61"/>
      <c r="AI128" s="61"/>
    </row>
    <row r="129" spans="1:35" s="417" customFormat="1" ht="15" customHeight="1" x14ac:dyDescent="0.2">
      <c r="A129" s="1487"/>
      <c r="B129" s="1488"/>
      <c r="C129" s="1488"/>
      <c r="D129" s="1488"/>
      <c r="E129" s="1488"/>
      <c r="F129" s="1488"/>
      <c r="G129" s="1488"/>
      <c r="H129" s="1488"/>
      <c r="I129" s="1488"/>
      <c r="J129" s="1488"/>
      <c r="K129" s="1488"/>
      <c r="L129" s="1488"/>
      <c r="M129" s="1488"/>
      <c r="N129" s="1488"/>
      <c r="O129" s="1488"/>
      <c r="P129" s="1488"/>
      <c r="Q129" s="1488"/>
      <c r="R129" s="1489"/>
      <c r="AB129" s="934" t="s">
        <v>65</v>
      </c>
      <c r="AC129" s="935" t="s">
        <v>66</v>
      </c>
      <c r="AD129" s="936">
        <f t="shared" si="0"/>
        <v>7.6499999999999999E-2</v>
      </c>
      <c r="AE129" s="936">
        <f t="shared" si="1"/>
        <v>0.4718</v>
      </c>
      <c r="AF129" s="61">
        <f>SUM(AD124:AD129)</f>
        <v>0.2162</v>
      </c>
      <c r="AG129" s="61">
        <f>SUM(AE124:AE129)</f>
        <v>1.3875999999999999</v>
      </c>
      <c r="AH129" s="61"/>
      <c r="AI129" s="61"/>
    </row>
    <row r="130" spans="1:35" s="417" customFormat="1" ht="15" customHeight="1" x14ac:dyDescent="0.2">
      <c r="A130" s="1490" t="s">
        <v>366</v>
      </c>
      <c r="B130" s="1491"/>
      <c r="C130" s="1492"/>
      <c r="D130" s="1492"/>
      <c r="E130" s="1492"/>
      <c r="F130" s="1492"/>
      <c r="G130" s="1492"/>
      <c r="H130" s="1492"/>
      <c r="I130" s="1492"/>
      <c r="J130" s="1492"/>
      <c r="K130" s="1492"/>
      <c r="L130" s="1492"/>
      <c r="M130" s="1492"/>
      <c r="N130" s="1492"/>
      <c r="O130" s="1492"/>
      <c r="P130" s="1492"/>
      <c r="Q130" s="1492"/>
      <c r="R130" s="1492"/>
      <c r="S130" s="1492"/>
      <c r="T130" s="1492"/>
      <c r="U130" s="1492"/>
      <c r="V130" s="1492"/>
      <c r="W130" s="1492"/>
      <c r="X130" s="1492"/>
      <c r="Y130" s="1492"/>
      <c r="Z130" s="1492"/>
      <c r="AA130" s="1492"/>
      <c r="AB130" s="1492"/>
      <c r="AC130" s="1492"/>
      <c r="AD130" s="1492"/>
      <c r="AE130" s="1493"/>
      <c r="AF130" s="61">
        <f>SUM(AF49:AF129)</f>
        <v>1.1954</v>
      </c>
      <c r="AG130" s="61">
        <f>SUM(AG43:AG129)</f>
        <v>6.4982999999999995</v>
      </c>
      <c r="AH130" s="61"/>
      <c r="AI130" s="61" t="s">
        <v>1282</v>
      </c>
    </row>
    <row r="131" spans="1:35" s="417" customFormat="1" ht="15" customHeight="1" x14ac:dyDescent="0.2">
      <c r="A131" s="1449" t="s">
        <v>367</v>
      </c>
      <c r="B131" s="1450"/>
      <c r="C131" s="1451"/>
      <c r="D131" s="1451"/>
      <c r="E131" s="1451"/>
      <c r="F131" s="1451"/>
      <c r="G131" s="1451"/>
      <c r="H131" s="1451"/>
      <c r="I131" s="1451"/>
      <c r="J131" s="1451"/>
      <c r="K131" s="1451"/>
      <c r="L131" s="1451"/>
      <c r="M131" s="1451"/>
      <c r="N131" s="1451"/>
      <c r="O131" s="1451"/>
      <c r="P131" s="1451"/>
      <c r="Q131" s="1451"/>
      <c r="R131" s="1451"/>
      <c r="S131" s="1451"/>
      <c r="T131" s="1451"/>
      <c r="U131" s="1451"/>
      <c r="V131" s="1451"/>
      <c r="W131" s="1451"/>
      <c r="X131" s="1451"/>
      <c r="Y131" s="1451"/>
      <c r="Z131" s="1451"/>
      <c r="AA131" s="1451"/>
      <c r="AB131" s="1451"/>
      <c r="AC131" s="1451"/>
      <c r="AD131" s="1451"/>
      <c r="AE131" s="1452"/>
      <c r="AF131" s="61"/>
      <c r="AG131" s="61"/>
      <c r="AH131" s="61"/>
      <c r="AI131" s="61"/>
    </row>
    <row r="132" spans="1:35" s="417" customFormat="1" ht="15" customHeight="1" x14ac:dyDescent="0.2">
      <c r="A132" s="508">
        <v>6003</v>
      </c>
      <c r="B132" s="566" t="s">
        <v>363</v>
      </c>
      <c r="C132" s="212">
        <v>6</v>
      </c>
      <c r="D132" s="170">
        <v>1</v>
      </c>
      <c r="E132" s="170">
        <v>1</v>
      </c>
      <c r="F132" s="170">
        <v>6</v>
      </c>
      <c r="G132" s="170">
        <v>60</v>
      </c>
      <c r="H132" s="170">
        <f>(8-1-0.75*2)*60*E132-J132-8*0.12*60</f>
        <v>57.900000000000006</v>
      </c>
      <c r="I132" s="170">
        <v>14</v>
      </c>
      <c r="J132" s="170">
        <f>(8-1-0.75*2)*0.65*60*E132</f>
        <v>214.5</v>
      </c>
      <c r="K132" s="207">
        <v>6.47</v>
      </c>
      <c r="L132" s="207">
        <v>6.47</v>
      </c>
      <c r="M132" s="170">
        <v>10</v>
      </c>
      <c r="N132" s="170">
        <f>D132/E132</f>
        <v>1</v>
      </c>
      <c r="O132" s="170">
        <v>180</v>
      </c>
      <c r="P132" s="170">
        <v>47</v>
      </c>
      <c r="Q132" s="211">
        <v>20</v>
      </c>
      <c r="R132" s="211">
        <v>1.27</v>
      </c>
      <c r="S132" s="207">
        <f>ROUND((K132*H132+1.3*K132*J132+R132*G132),4)</f>
        <v>2254.9724999999999</v>
      </c>
      <c r="T132" s="207">
        <f>ROUND((L132*H132+1.3*L132*J132+R132*G132),4)</f>
        <v>2254.9724999999999</v>
      </c>
      <c r="U132" s="207">
        <f>ROUND((L132*H132+1.3*L132*J132+R132*G132),4)</f>
        <v>2254.9724999999999</v>
      </c>
      <c r="V132" s="207">
        <f>ROUND((K132*I132+1.3*K132*M132+R132*F132),4)</f>
        <v>182.31</v>
      </c>
      <c r="W132" s="207">
        <f>ROUND((L132*I132+1.3*L132*M132+R132*F132),4)</f>
        <v>182.31</v>
      </c>
      <c r="X132" s="207">
        <f>ROUND((L132*I132+1.3*L132*M132+R132*F132),4)</f>
        <v>182.31</v>
      </c>
      <c r="Y132" s="385">
        <f>ROUND((O132*S132*E132*N132/1000000),4)</f>
        <v>0.40589999999999998</v>
      </c>
      <c r="Z132" s="385">
        <f>ROUND((P132*T132*E132*N132/1000000),4)</f>
        <v>0.106</v>
      </c>
      <c r="AA132" s="385">
        <f>ROUND((Q132*U132*E132*N132/1000000),4)</f>
        <v>4.5100000000000001E-2</v>
      </c>
      <c r="AB132" s="931" t="s">
        <v>48</v>
      </c>
      <c r="AC132" s="932" t="s">
        <v>49</v>
      </c>
      <c r="AD132" s="933">
        <f>ROUND((((W132*D132)/1800)*0.8),4)</f>
        <v>8.1000000000000003E-2</v>
      </c>
      <c r="AE132" s="933">
        <f>ROUND(((Y132+Z132+AA132)*0.8),4)</f>
        <v>0.4456</v>
      </c>
      <c r="AF132" s="61"/>
      <c r="AG132" s="61"/>
      <c r="AH132" s="61"/>
      <c r="AI132" s="61"/>
    </row>
    <row r="133" spans="1:35" s="417" customFormat="1" ht="15" customHeight="1" x14ac:dyDescent="0.2">
      <c r="A133" s="559"/>
      <c r="B133" s="399" t="s">
        <v>364</v>
      </c>
      <c r="C133" s="387"/>
      <c r="D133" s="209"/>
      <c r="E133" s="209"/>
      <c r="F133" s="209"/>
      <c r="G133" s="209"/>
      <c r="H133" s="209"/>
      <c r="I133" s="209"/>
      <c r="J133" s="209"/>
      <c r="K133" s="210"/>
      <c r="L133" s="210"/>
      <c r="M133" s="209"/>
      <c r="N133" s="209"/>
      <c r="O133" s="209"/>
      <c r="P133" s="209"/>
      <c r="Q133" s="209"/>
      <c r="R133" s="213"/>
      <c r="S133" s="215"/>
      <c r="T133" s="215"/>
      <c r="U133" s="215"/>
      <c r="V133" s="215"/>
      <c r="W133" s="215"/>
      <c r="X133" s="215"/>
      <c r="Y133" s="215"/>
      <c r="Z133" s="215"/>
      <c r="AA133" s="215"/>
      <c r="AB133" s="931" t="s">
        <v>51</v>
      </c>
      <c r="AC133" s="932" t="s">
        <v>52</v>
      </c>
      <c r="AD133" s="933">
        <f>ROUND((((W132*D132)/1800)*0.13),4)</f>
        <v>1.32E-2</v>
      </c>
      <c r="AE133" s="933">
        <f>ROUND(((Y132+Z132+AA132)*0.13),4)</f>
        <v>7.2400000000000006E-2</v>
      </c>
      <c r="AF133" s="61"/>
      <c r="AG133" s="61"/>
      <c r="AH133" s="61"/>
      <c r="AI133" s="61"/>
    </row>
    <row r="134" spans="1:35" s="417" customFormat="1" ht="15" customHeight="1" x14ac:dyDescent="0.2">
      <c r="A134" s="559"/>
      <c r="B134" s="387" t="s">
        <v>341</v>
      </c>
      <c r="C134" s="389"/>
      <c r="D134" s="209"/>
      <c r="E134" s="209"/>
      <c r="F134" s="209"/>
      <c r="G134" s="209"/>
      <c r="H134" s="209"/>
      <c r="I134" s="209"/>
      <c r="J134" s="209"/>
      <c r="K134" s="391">
        <v>0.51</v>
      </c>
      <c r="L134" s="391">
        <v>0.63</v>
      </c>
      <c r="M134" s="209"/>
      <c r="N134" s="209"/>
      <c r="O134" s="209"/>
      <c r="P134" s="209"/>
      <c r="Q134" s="209"/>
      <c r="R134" s="392">
        <v>0.25</v>
      </c>
      <c r="S134" s="207">
        <f>ROUND((K134*H132+1.3*K134*J132+R134*G132),4)</f>
        <v>186.74250000000001</v>
      </c>
      <c r="T134" s="207">
        <f>ROUND((L134*0.9*H132+1.3*L134*0.9*J132+R134*G132),4)</f>
        <v>205.93729999999999</v>
      </c>
      <c r="U134" s="207">
        <f>ROUND((L134*H132+1.3*L134*J132+R134*G132),4)</f>
        <v>227.1525</v>
      </c>
      <c r="V134" s="207">
        <f>ROUND((K134*I132+1.3*K134*M132+R134*F132),4)</f>
        <v>15.27</v>
      </c>
      <c r="W134" s="207">
        <f>ROUND((L134*0.9*I132+1.3*L134*0.9*M132+R134*F132),4)</f>
        <v>16.809000000000001</v>
      </c>
      <c r="X134" s="207">
        <f>ROUND((L134*I132+1.3*L134*M132+R134*F132),4)</f>
        <v>18.510000000000002</v>
      </c>
      <c r="Y134" s="385">
        <f>ROUND((O132*S134*E132*N132/1000000),4)</f>
        <v>3.3599999999999998E-2</v>
      </c>
      <c r="Z134" s="385">
        <f>ROUND((P132*T134*E132*N132/1000000),4)</f>
        <v>9.7000000000000003E-3</v>
      </c>
      <c r="AA134" s="385">
        <f>ROUND((Q132*U134*E132*N132/1000000),4)</f>
        <v>4.4999999999999997E-3</v>
      </c>
      <c r="AB134" s="931" t="s">
        <v>56</v>
      </c>
      <c r="AC134" s="932" t="s">
        <v>57</v>
      </c>
      <c r="AD134" s="933">
        <f>ROUND((((W134*D132)/1800)),4)</f>
        <v>9.2999999999999992E-3</v>
      </c>
      <c r="AE134" s="933">
        <f>ROUND(((Y134+Z134+AA134)),5)</f>
        <v>4.7800000000000002E-2</v>
      </c>
      <c r="AF134" s="61"/>
      <c r="AG134" s="61"/>
      <c r="AH134" s="61"/>
      <c r="AI134" s="61"/>
    </row>
    <row r="135" spans="1:35" s="417" customFormat="1" ht="15" customHeight="1" x14ac:dyDescent="0.2">
      <c r="A135" s="559"/>
      <c r="B135" s="387"/>
      <c r="C135" s="387"/>
      <c r="D135" s="209"/>
      <c r="E135" s="209"/>
      <c r="F135" s="209"/>
      <c r="G135" s="209"/>
      <c r="H135" s="209"/>
      <c r="I135" s="209"/>
      <c r="J135" s="209"/>
      <c r="K135" s="391">
        <v>1.1399999999999999</v>
      </c>
      <c r="L135" s="391">
        <v>1.37</v>
      </c>
      <c r="M135" s="209"/>
      <c r="N135" s="209"/>
      <c r="O135" s="209"/>
      <c r="P135" s="209"/>
      <c r="Q135" s="209"/>
      <c r="R135" s="393">
        <v>0.79</v>
      </c>
      <c r="S135" s="207">
        <f>ROUND((K135*H132+1.3*K135*J132+R135*G132),4)</f>
        <v>431.29500000000002</v>
      </c>
      <c r="T135" s="207">
        <f>ROUND((L135*0.9*H132+1.3*L135*0.9*J132+R135*G132),4)</f>
        <v>462.61279999999999</v>
      </c>
      <c r="U135" s="207">
        <f>ROUND((L135*H132+1.3*L135*J132+R135*G132),4)</f>
        <v>508.7475</v>
      </c>
      <c r="V135" s="207">
        <f>ROUND((K135*I132+1.3*K135*M132+R135*F132),4)</f>
        <v>35.520000000000003</v>
      </c>
      <c r="W135" s="207">
        <f>ROUND((L135*0.9*I132+1.3*L135*0.9*M132+R135*F132),4)</f>
        <v>38.030999999999999</v>
      </c>
      <c r="X135" s="207">
        <f>ROUND((L135*I132+1.3*M132+R135*F132),4)</f>
        <v>36.92</v>
      </c>
      <c r="Y135" s="385">
        <f>ROUND((O132*S135*E132*N132/1000000),4)</f>
        <v>7.7600000000000002E-2</v>
      </c>
      <c r="Z135" s="385">
        <f>ROUND((P132*T135*E132*N132/1000000),4)</f>
        <v>2.1700000000000001E-2</v>
      </c>
      <c r="AA135" s="385">
        <f>ROUND((Q132*U135*E132*N132/1000000),4)</f>
        <v>1.0200000000000001E-2</v>
      </c>
      <c r="AB135" s="931" t="s">
        <v>177</v>
      </c>
      <c r="AC135" s="932" t="s">
        <v>178</v>
      </c>
      <c r="AD135" s="933">
        <f>ROUND((((W135*D132)/1800)),4)</f>
        <v>2.1100000000000001E-2</v>
      </c>
      <c r="AE135" s="933">
        <f>ROUND(((Y135+Z135+AA135)),4)</f>
        <v>0.1095</v>
      </c>
      <c r="AF135" s="61"/>
      <c r="AG135" s="61"/>
      <c r="AH135" s="61"/>
      <c r="AI135" s="61"/>
    </row>
    <row r="136" spans="1:35" s="417" customFormat="1" ht="15" customHeight="1" x14ac:dyDescent="0.2">
      <c r="A136" s="559"/>
      <c r="B136" s="387"/>
      <c r="C136" s="387"/>
      <c r="D136" s="209"/>
      <c r="E136" s="209"/>
      <c r="F136" s="209"/>
      <c r="G136" s="209"/>
      <c r="H136" s="209"/>
      <c r="I136" s="209"/>
      <c r="J136" s="209"/>
      <c r="K136" s="391">
        <v>0.72</v>
      </c>
      <c r="L136" s="391">
        <v>1.08</v>
      </c>
      <c r="M136" s="209"/>
      <c r="N136" s="209"/>
      <c r="O136" s="209"/>
      <c r="P136" s="209"/>
      <c r="Q136" s="209"/>
      <c r="R136" s="393">
        <v>0.17</v>
      </c>
      <c r="S136" s="207">
        <f>ROUND((K136*H132+1.3*K136*J132+R136*G132),4)</f>
        <v>252.66</v>
      </c>
      <c r="T136" s="207">
        <f>ROUND((L136*0.9*H132+1.3*L136*0.9*J132+R136*G132),4)</f>
        <v>337.52100000000002</v>
      </c>
      <c r="U136" s="207">
        <f>ROUND((L136*H132+1.3*L136*J132+R136*G132),4)</f>
        <v>373.89</v>
      </c>
      <c r="V136" s="207">
        <f>ROUND((K136*I132+1.3*K136*M132+R136*F132),4)</f>
        <v>20.46</v>
      </c>
      <c r="W136" s="207">
        <f>ROUND((L136*0.9*I132+1.3*L136*0.9*M132+R136*F132),4)</f>
        <v>27.263999999999999</v>
      </c>
      <c r="X136" s="207">
        <f>ROUND((L136*I132+1.3*L136*M132+R136*F132),4)</f>
        <v>30.18</v>
      </c>
      <c r="Y136" s="385">
        <f>ROUND((O132*S136*E132*N132/1000000),4)</f>
        <v>4.5499999999999999E-2</v>
      </c>
      <c r="Z136" s="385">
        <f>ROUND((P132*T136*E132*N132/1000000),4)</f>
        <v>1.5900000000000001E-2</v>
      </c>
      <c r="AA136" s="385">
        <f>ROUND((Q132*U136*E132*N132/1000000),4)</f>
        <v>7.4999999999999997E-3</v>
      </c>
      <c r="AB136" s="931" t="s">
        <v>61</v>
      </c>
      <c r="AC136" s="932" t="s">
        <v>62</v>
      </c>
      <c r="AD136" s="933">
        <f>ROUND((((W136*D132)/1800)),4)</f>
        <v>1.5100000000000001E-2</v>
      </c>
      <c r="AE136" s="933">
        <f>ROUND(((Y136+Z136+AA136)),4)</f>
        <v>6.8900000000000003E-2</v>
      </c>
      <c r="AF136" s="61"/>
      <c r="AG136" s="61"/>
      <c r="AH136" s="61"/>
      <c r="AI136" s="61"/>
    </row>
    <row r="137" spans="1:35" s="417" customFormat="1" ht="15" customHeight="1" x14ac:dyDescent="0.2">
      <c r="A137" s="512"/>
      <c r="B137" s="214"/>
      <c r="C137" s="214"/>
      <c r="D137" s="210"/>
      <c r="E137" s="210"/>
      <c r="F137" s="210"/>
      <c r="G137" s="210"/>
      <c r="H137" s="210"/>
      <c r="I137" s="210"/>
      <c r="J137" s="210"/>
      <c r="K137" s="391">
        <v>3.37</v>
      </c>
      <c r="L137" s="391">
        <v>4.1100000000000003</v>
      </c>
      <c r="M137" s="210"/>
      <c r="N137" s="210"/>
      <c r="O137" s="210"/>
      <c r="P137" s="210"/>
      <c r="Q137" s="210"/>
      <c r="R137" s="393">
        <v>6.31</v>
      </c>
      <c r="S137" s="207">
        <f>ROUND((K137*H132+1.3*K137*J132+R137*G132),4)</f>
        <v>1513.4475</v>
      </c>
      <c r="T137" s="207">
        <f>ROUND((L137*0.9*H132+1.3*L137*0.9*J132+R137*G132),4)</f>
        <v>1624.2383</v>
      </c>
      <c r="U137" s="207">
        <f>ROUND((L137*H132+1.3*L137*J132+R137*G132),4)</f>
        <v>1762.6424999999999</v>
      </c>
      <c r="V137" s="207">
        <f>ROUND((K137*I132+1.3*K137*M132+R137*F132),4)</f>
        <v>128.85</v>
      </c>
      <c r="W137" s="207">
        <f>ROUND((L137*0.9*I132+1.3*L137*0.9*M132+R137*F132),4)</f>
        <v>137.733</v>
      </c>
      <c r="X137" s="207">
        <f>ROUND((L137*I132+1.3*L137*M132+R137*F132),4)</f>
        <v>148.83000000000001</v>
      </c>
      <c r="Y137" s="385">
        <f>ROUND((O132*S137*E132*N132/1000000),4)</f>
        <v>0.27239999999999998</v>
      </c>
      <c r="Z137" s="385">
        <f>ROUND((P132*T137*E132*N132/1000000),4)</f>
        <v>7.6300000000000007E-2</v>
      </c>
      <c r="AA137" s="385">
        <f>ROUND((Q132*U137*E132*N132/1000000),4)</f>
        <v>3.5299999999999998E-2</v>
      </c>
      <c r="AB137" s="931" t="s">
        <v>65</v>
      </c>
      <c r="AC137" s="932" t="s">
        <v>66</v>
      </c>
      <c r="AD137" s="933">
        <f>ROUND((((W137*D132)/1800)),4)</f>
        <v>7.6499999999999999E-2</v>
      </c>
      <c r="AE137" s="933">
        <f>ROUND(((Y137+Z137+AA137)),4)</f>
        <v>0.38400000000000001</v>
      </c>
      <c r="AF137" s="61">
        <f>SUM(AD132:AD137)</f>
        <v>0.2162</v>
      </c>
      <c r="AG137" s="61">
        <f>SUM(AE132:AE137)</f>
        <v>1.1282000000000001</v>
      </c>
      <c r="AH137" s="61"/>
      <c r="AI137" s="61"/>
    </row>
    <row r="138" spans="1:35" s="417" customFormat="1" ht="15" customHeight="1" x14ac:dyDescent="0.2">
      <c r="A138" s="1449" t="s">
        <v>368</v>
      </c>
      <c r="B138" s="1450"/>
      <c r="C138" s="1451"/>
      <c r="D138" s="1451"/>
      <c r="E138" s="1451"/>
      <c r="F138" s="1451"/>
      <c r="G138" s="1451"/>
      <c r="H138" s="1451"/>
      <c r="I138" s="1451"/>
      <c r="J138" s="1451"/>
      <c r="K138" s="1451"/>
      <c r="L138" s="1451"/>
      <c r="M138" s="1451"/>
      <c r="N138" s="1451"/>
      <c r="O138" s="1451"/>
      <c r="P138" s="1451"/>
      <c r="Q138" s="1451"/>
      <c r="R138" s="1451"/>
      <c r="S138" s="1451"/>
      <c r="T138" s="1451"/>
      <c r="U138" s="1451"/>
      <c r="V138" s="1451"/>
      <c r="W138" s="1451"/>
      <c r="X138" s="1451"/>
      <c r="Y138" s="1451"/>
      <c r="Z138" s="1451"/>
      <c r="AA138" s="1451"/>
      <c r="AB138" s="1451"/>
      <c r="AC138" s="1451"/>
      <c r="AD138" s="1451"/>
      <c r="AE138" s="1452"/>
      <c r="AF138" s="61"/>
      <c r="AG138" s="61"/>
      <c r="AH138" s="61"/>
      <c r="AI138" s="61"/>
    </row>
    <row r="139" spans="1:35" s="417" customFormat="1" ht="15" customHeight="1" x14ac:dyDescent="0.2">
      <c r="A139" s="551" t="s">
        <v>369</v>
      </c>
      <c r="B139" s="398" t="s">
        <v>343</v>
      </c>
      <c r="C139" s="212">
        <v>4</v>
      </c>
      <c r="D139" s="170">
        <v>1</v>
      </c>
      <c r="E139" s="170">
        <v>1</v>
      </c>
      <c r="F139" s="170">
        <v>6</v>
      </c>
      <c r="G139" s="170">
        <v>60</v>
      </c>
      <c r="H139" s="170">
        <f>(8-1-0.75*2)*60*E139-J139-8*0.12*60</f>
        <v>57.900000000000006</v>
      </c>
      <c r="I139" s="170">
        <v>14</v>
      </c>
      <c r="J139" s="170">
        <f>(8-1-0.75*2)*0.65*60*E139</f>
        <v>214.5</v>
      </c>
      <c r="K139" s="170">
        <v>2.4700000000000002</v>
      </c>
      <c r="L139" s="170">
        <v>2.4700000000000002</v>
      </c>
      <c r="M139" s="170">
        <v>10</v>
      </c>
      <c r="N139" s="170">
        <f>D139/E139</f>
        <v>1</v>
      </c>
      <c r="O139" s="170">
        <v>180</v>
      </c>
      <c r="P139" s="170">
        <v>47</v>
      </c>
      <c r="Q139" s="211">
        <v>20</v>
      </c>
      <c r="R139" s="170">
        <v>0.48</v>
      </c>
      <c r="S139" s="207">
        <f>ROUND((K139*H139+1.3*K139*J139+R139*G139),4)</f>
        <v>860.57249999999999</v>
      </c>
      <c r="T139" s="207">
        <f>ROUND((L139*H139+1.3*L139*J139+R139*G139),4)</f>
        <v>860.57249999999999</v>
      </c>
      <c r="U139" s="207">
        <f>ROUND((L139*H139+1.3*L139*J139+R139*G139),4)</f>
        <v>860.57249999999999</v>
      </c>
      <c r="V139" s="207">
        <f>ROUND((K139*I139+1.3*K139*M139+R139*F139),4)</f>
        <v>69.569999999999993</v>
      </c>
      <c r="W139" s="207">
        <f>ROUND((L139*I139+1.3*L139*M139+R139*F139),4)</f>
        <v>69.569999999999993</v>
      </c>
      <c r="X139" s="207">
        <f>ROUND((L139*I139+1.3*L139*M139+R139*F139),4)</f>
        <v>69.569999999999993</v>
      </c>
      <c r="Y139" s="385">
        <f>ROUND((O139*S139*E139*N139/1000000),4)</f>
        <v>0.15490000000000001</v>
      </c>
      <c r="Z139" s="385">
        <f>ROUND((P139*T139*E139*N139/1000000),4)</f>
        <v>4.0399999999999998E-2</v>
      </c>
      <c r="AA139" s="385">
        <f>ROUND((Q139*U139*E139*N139/1000000),4)</f>
        <v>1.72E-2</v>
      </c>
      <c r="AB139" s="931" t="s">
        <v>48</v>
      </c>
      <c r="AC139" s="932" t="s">
        <v>49</v>
      </c>
      <c r="AD139" s="933">
        <f>ROUND((((W139*D139)/1800)*0.8),4)</f>
        <v>3.09E-2</v>
      </c>
      <c r="AE139" s="933">
        <f>ROUND(((Y139+Z139+AA139)*0.8),4)</f>
        <v>0.17</v>
      </c>
      <c r="AF139" s="61"/>
      <c r="AG139" s="61"/>
      <c r="AH139" s="61"/>
      <c r="AI139" s="61"/>
    </row>
    <row r="140" spans="1:35" s="417" customFormat="1" ht="15" customHeight="1" x14ac:dyDescent="0.2">
      <c r="A140" s="552"/>
      <c r="B140" s="399" t="s">
        <v>359</v>
      </c>
      <c r="C140" s="387"/>
      <c r="D140" s="209"/>
      <c r="E140" s="209"/>
      <c r="F140" s="209"/>
      <c r="G140" s="209"/>
      <c r="H140" s="209"/>
      <c r="I140" s="209"/>
      <c r="J140" s="209"/>
      <c r="K140" s="209"/>
      <c r="L140" s="209"/>
      <c r="M140" s="209"/>
      <c r="N140" s="209"/>
      <c r="O140" s="209"/>
      <c r="P140" s="209"/>
      <c r="Q140" s="209"/>
      <c r="R140" s="388"/>
      <c r="S140" s="215"/>
      <c r="T140" s="215"/>
      <c r="U140" s="215"/>
      <c r="V140" s="215"/>
      <c r="W140" s="215"/>
      <c r="X140" s="215"/>
      <c r="Y140" s="215"/>
      <c r="Z140" s="215"/>
      <c r="AA140" s="215"/>
      <c r="AB140" s="931" t="s">
        <v>51</v>
      </c>
      <c r="AC140" s="932" t="s">
        <v>52</v>
      </c>
      <c r="AD140" s="933">
        <f>ROUND((((W139*D139)/1800)*0.13),4)</f>
        <v>5.0000000000000001E-3</v>
      </c>
      <c r="AE140" s="933">
        <f>ROUND(((Y139+Z139+AA139)*0.13),4)</f>
        <v>2.76E-2</v>
      </c>
      <c r="AF140" s="61"/>
      <c r="AG140" s="61"/>
      <c r="AH140" s="61"/>
      <c r="AI140" s="61"/>
    </row>
    <row r="141" spans="1:35" s="417" customFormat="1" ht="15" customHeight="1" x14ac:dyDescent="0.2">
      <c r="A141" s="558"/>
      <c r="B141" s="387" t="s">
        <v>360</v>
      </c>
      <c r="C141" s="389"/>
      <c r="D141" s="209"/>
      <c r="E141" s="209"/>
      <c r="F141" s="209"/>
      <c r="G141" s="209"/>
      <c r="H141" s="209"/>
      <c r="I141" s="209"/>
      <c r="J141" s="209"/>
      <c r="K141" s="209">
        <v>0.19</v>
      </c>
      <c r="L141" s="209">
        <v>0.23</v>
      </c>
      <c r="M141" s="209"/>
      <c r="N141" s="209"/>
      <c r="O141" s="209"/>
      <c r="P141" s="209"/>
      <c r="Q141" s="209"/>
      <c r="R141" s="133">
        <v>9.7000000000000003E-2</v>
      </c>
      <c r="S141" s="207">
        <f>ROUND((K141*H139+1.3*K141*J139+R141*G139),4)</f>
        <v>69.802499999999995</v>
      </c>
      <c r="T141" s="207">
        <f>ROUND((L141*0.9*H139+1.3*L141*0.9*J139+R141*G139),4)</f>
        <v>75.527299999999997</v>
      </c>
      <c r="U141" s="207">
        <f>ROUND((L141*H139+1.3*L141*J139+R141*G139),4)</f>
        <v>83.272499999999994</v>
      </c>
      <c r="V141" s="207">
        <f>ROUND((K141*I139+1.3*K141*M139+R141*F139),4)</f>
        <v>5.7119999999999997</v>
      </c>
      <c r="W141" s="207">
        <f>ROUND((L141*0.9*I139+1.3*L141*0.9*M139+R141*F139),4)</f>
        <v>6.1710000000000003</v>
      </c>
      <c r="X141" s="207">
        <f>ROUND((L141*I139+1.3*L141*M139+R141*F139),4)</f>
        <v>6.7919999999999998</v>
      </c>
      <c r="Y141" s="385">
        <f>ROUND((O139*S141*E139*N139/1000000),4)</f>
        <v>1.26E-2</v>
      </c>
      <c r="Z141" s="385">
        <f>ROUND((P139*T141*E139*N139/1000000),4)</f>
        <v>3.5000000000000001E-3</v>
      </c>
      <c r="AA141" s="385">
        <f>ROUND((Q139*U141*E139*N139/1000000),4)</f>
        <v>1.6999999999999999E-3</v>
      </c>
      <c r="AB141" s="931" t="s">
        <v>56</v>
      </c>
      <c r="AC141" s="932" t="s">
        <v>57</v>
      </c>
      <c r="AD141" s="933">
        <f>ROUND((((W141*D139)/1800)),4)</f>
        <v>3.3999999999999998E-3</v>
      </c>
      <c r="AE141" s="933">
        <f>ROUND(((Y141+Z141+AA141)),5)</f>
        <v>1.78E-2</v>
      </c>
      <c r="AF141" s="61"/>
      <c r="AG141" s="61"/>
      <c r="AH141" s="61"/>
      <c r="AI141" s="61"/>
    </row>
    <row r="142" spans="1:35" s="417" customFormat="1" ht="15" customHeight="1" x14ac:dyDescent="0.2">
      <c r="A142" s="558"/>
      <c r="B142" s="387"/>
      <c r="C142" s="387"/>
      <c r="D142" s="209"/>
      <c r="E142" s="209"/>
      <c r="F142" s="209"/>
      <c r="G142" s="209"/>
      <c r="H142" s="209"/>
      <c r="I142" s="209"/>
      <c r="J142" s="209"/>
      <c r="K142" s="209">
        <v>0.43</v>
      </c>
      <c r="L142" s="209">
        <v>0.51</v>
      </c>
      <c r="M142" s="209"/>
      <c r="N142" s="209"/>
      <c r="O142" s="209"/>
      <c r="P142" s="209"/>
      <c r="Q142" s="209"/>
      <c r="R142" s="133">
        <v>0.3</v>
      </c>
      <c r="S142" s="207">
        <f>ROUND((K142*H139+1.3*K142*J139+R142*G139),4)</f>
        <v>162.80250000000001</v>
      </c>
      <c r="T142" s="207">
        <f>ROUND((L142*0.9*H139+1.3*L142*0.9*J139+R142*G139),4)</f>
        <v>172.56829999999999</v>
      </c>
      <c r="U142" s="207">
        <f>ROUND((L142*H139+1.3*L142*J139+R142*G139),4)</f>
        <v>189.74250000000001</v>
      </c>
      <c r="V142" s="207">
        <f>ROUND((K142*I139+1.3*K142*M139+R142*F139),4)</f>
        <v>13.41</v>
      </c>
      <c r="W142" s="207">
        <f>ROUND((L142*0.9*I139+1.3*L142*0.9*M139+R142*F139),4)</f>
        <v>14.193</v>
      </c>
      <c r="X142" s="207">
        <f>ROUND((L142*I139+1.3*M139+R142*F139),4)</f>
        <v>21.94</v>
      </c>
      <c r="Y142" s="385">
        <f>ROUND((O139*S142*E139*N139/1000000),4)</f>
        <v>2.93E-2</v>
      </c>
      <c r="Z142" s="385">
        <f>ROUND((P139*T142*E139*N139/1000000),4)</f>
        <v>8.0999999999999996E-3</v>
      </c>
      <c r="AA142" s="385">
        <f>ROUND((Q139*U142*E139*N139/1000000),4)</f>
        <v>3.8E-3</v>
      </c>
      <c r="AB142" s="931" t="s">
        <v>177</v>
      </c>
      <c r="AC142" s="932" t="s">
        <v>178</v>
      </c>
      <c r="AD142" s="933">
        <f>ROUND((((W142*D139)/1800)),4)</f>
        <v>7.9000000000000008E-3</v>
      </c>
      <c r="AE142" s="933">
        <f>ROUND(((Y142+Z142+AA142)),4)</f>
        <v>4.1200000000000001E-2</v>
      </c>
      <c r="AF142" s="61"/>
      <c r="AG142" s="61"/>
      <c r="AH142" s="61"/>
      <c r="AI142" s="61"/>
    </row>
    <row r="143" spans="1:35" s="417" customFormat="1" ht="15" customHeight="1" x14ac:dyDescent="0.2">
      <c r="A143" s="558"/>
      <c r="B143" s="387"/>
      <c r="C143" s="387"/>
      <c r="D143" s="209"/>
      <c r="E143" s="209"/>
      <c r="F143" s="209"/>
      <c r="G143" s="209"/>
      <c r="H143" s="209"/>
      <c r="I143" s="209"/>
      <c r="J143" s="209"/>
      <c r="K143" s="209">
        <v>0.27</v>
      </c>
      <c r="L143" s="209">
        <v>0.41</v>
      </c>
      <c r="M143" s="209"/>
      <c r="N143" s="209"/>
      <c r="O143" s="209"/>
      <c r="P143" s="209"/>
      <c r="Q143" s="209"/>
      <c r="R143" s="133">
        <v>0.06</v>
      </c>
      <c r="S143" s="207">
        <f>ROUND((K143*H139+1.3*K143*J139+R143*G139),4)</f>
        <v>94.522499999999994</v>
      </c>
      <c r="T143" s="207">
        <f>ROUND((L143*0.9*H139+1.3*L143*0.9*J139+R143*G139),4)</f>
        <v>127.8608</v>
      </c>
      <c r="U143" s="207">
        <f>ROUND((L143*H139+1.3*L143*J139+R143*G139),4)</f>
        <v>141.66749999999999</v>
      </c>
      <c r="V143" s="207">
        <f>ROUND((K143*I139+1.3*K143*M139+R143*F139),4)</f>
        <v>7.65</v>
      </c>
      <c r="W143" s="207">
        <f>ROUND((L143*0.9*I139+1.3*L143*0.9*M139+R143*F139),4)</f>
        <v>10.323</v>
      </c>
      <c r="X143" s="207">
        <f>ROUND((L143*I139+1.3*L143*M139+R143*F139),4)</f>
        <v>11.43</v>
      </c>
      <c r="Y143" s="385">
        <f>ROUND((O139*S143*E139*N139/1000000),4)</f>
        <v>1.7000000000000001E-2</v>
      </c>
      <c r="Z143" s="385">
        <f>ROUND((P139*T143*E139*N139/1000000),4)</f>
        <v>6.0000000000000001E-3</v>
      </c>
      <c r="AA143" s="385">
        <f>ROUND((Q139*U143*E139*N139/1000000),4)</f>
        <v>2.8E-3</v>
      </c>
      <c r="AB143" s="931" t="s">
        <v>61</v>
      </c>
      <c r="AC143" s="932" t="s">
        <v>62</v>
      </c>
      <c r="AD143" s="933">
        <f>ROUND((((W143*D139)/1800)),4)</f>
        <v>5.7000000000000002E-3</v>
      </c>
      <c r="AE143" s="933">
        <f>ROUND(((Y143+Z143+AA143)),4)</f>
        <v>2.58E-2</v>
      </c>
      <c r="AF143" s="61"/>
      <c r="AG143" s="61"/>
      <c r="AH143" s="61"/>
      <c r="AI143" s="61"/>
    </row>
    <row r="144" spans="1:35" s="417" customFormat="1" ht="15" customHeight="1" x14ac:dyDescent="0.2">
      <c r="A144" s="558"/>
      <c r="B144" s="214"/>
      <c r="C144" s="214"/>
      <c r="D144" s="210"/>
      <c r="E144" s="210"/>
      <c r="F144" s="210"/>
      <c r="G144" s="210"/>
      <c r="H144" s="210"/>
      <c r="I144" s="210"/>
      <c r="J144" s="210"/>
      <c r="K144" s="210">
        <v>1.29</v>
      </c>
      <c r="L144" s="210">
        <v>1.57</v>
      </c>
      <c r="M144" s="210"/>
      <c r="N144" s="210"/>
      <c r="O144" s="210"/>
      <c r="P144" s="210"/>
      <c r="Q144" s="210"/>
      <c r="R144" s="133">
        <v>2.4</v>
      </c>
      <c r="S144" s="134">
        <f>ROUND((K144*H139+1.3*K144*J139+R144*G139),4)</f>
        <v>578.40750000000003</v>
      </c>
      <c r="T144" s="134">
        <f>ROUND((L144*0.9*H139+1.3*L144*0.9*J139+R144*G139),4)</f>
        <v>619.82780000000002</v>
      </c>
      <c r="U144" s="134">
        <f>ROUND((L144*H139+1.3*L144*J139+R144*G139),4)</f>
        <v>672.69749999999999</v>
      </c>
      <c r="V144" s="134">
        <f>ROUND((K144*I139+1.3*K144*M139+R144*F139),4)</f>
        <v>49.23</v>
      </c>
      <c r="W144" s="134">
        <f>ROUND((L144*0.9*I139+1.3*L144*0.9*M139+R144*F139),4)</f>
        <v>52.551000000000002</v>
      </c>
      <c r="X144" s="134">
        <f>ROUND((L144*I139+1.3*L144*M139+R144*F139),4)</f>
        <v>56.79</v>
      </c>
      <c r="Y144" s="394">
        <f>ROUND((O139*S144*E139*N139/1000000),4)</f>
        <v>0.1041</v>
      </c>
      <c r="Z144" s="394">
        <f>ROUND((P139*T144*E139*N139/1000000),4)</f>
        <v>2.9100000000000001E-2</v>
      </c>
      <c r="AA144" s="394">
        <f>ROUND((Q139*U144*E139*N139/1000000),4)</f>
        <v>1.35E-2</v>
      </c>
      <c r="AB144" s="931" t="s">
        <v>65</v>
      </c>
      <c r="AC144" s="932" t="s">
        <v>66</v>
      </c>
      <c r="AD144" s="933">
        <f>ROUND((((W144*D139)/1800)),4)</f>
        <v>2.92E-2</v>
      </c>
      <c r="AE144" s="933">
        <f>ROUND(((Y144+Z144+AA144)),4)</f>
        <v>0.1467</v>
      </c>
      <c r="AF144" s="61"/>
      <c r="AG144" s="61"/>
      <c r="AH144" s="61"/>
      <c r="AI144" s="61"/>
    </row>
    <row r="145" spans="1:35" s="417" customFormat="1" ht="15" customHeight="1" x14ac:dyDescent="0.2">
      <c r="A145" s="559"/>
      <c r="B145" s="566" t="s">
        <v>363</v>
      </c>
      <c r="C145" s="212">
        <v>6</v>
      </c>
      <c r="D145" s="170">
        <v>1</v>
      </c>
      <c r="E145" s="170">
        <v>1</v>
      </c>
      <c r="F145" s="170">
        <v>6</v>
      </c>
      <c r="G145" s="170">
        <v>60</v>
      </c>
      <c r="H145" s="170">
        <f>(8-1-0.75*2)*60*E145-J145-8*0.12*60</f>
        <v>57.900000000000006</v>
      </c>
      <c r="I145" s="170">
        <v>14</v>
      </c>
      <c r="J145" s="170">
        <f>(8-1-0.75*2)*0.65*60*E145</f>
        <v>214.5</v>
      </c>
      <c r="K145" s="207">
        <v>6.47</v>
      </c>
      <c r="L145" s="207">
        <v>6.47</v>
      </c>
      <c r="M145" s="170">
        <v>10</v>
      </c>
      <c r="N145" s="170">
        <f>D145/E145</f>
        <v>1</v>
      </c>
      <c r="O145" s="170">
        <v>180</v>
      </c>
      <c r="P145" s="170">
        <v>47</v>
      </c>
      <c r="Q145" s="211">
        <v>20</v>
      </c>
      <c r="R145" s="211">
        <v>1.27</v>
      </c>
      <c r="S145" s="207">
        <f>ROUND((K145*H145+1.3*K145*J145+R145*G145),4)</f>
        <v>2254.9724999999999</v>
      </c>
      <c r="T145" s="207">
        <f>ROUND((L145*H145+1.3*L145*J145+R145*G145),4)</f>
        <v>2254.9724999999999</v>
      </c>
      <c r="U145" s="207">
        <f>ROUND((L145*H145+1.3*L145*J145+R145*G145),4)</f>
        <v>2254.9724999999999</v>
      </c>
      <c r="V145" s="207">
        <f>ROUND((K145*I145+1.3*K145*M145+R145*F145),4)</f>
        <v>182.31</v>
      </c>
      <c r="W145" s="207">
        <f>ROUND((L145*I145+1.3*L145*M145+R145*F145),4)</f>
        <v>182.31</v>
      </c>
      <c r="X145" s="207">
        <f>ROUND((L145*I145+1.3*L145*M145+R145*F145),4)</f>
        <v>182.31</v>
      </c>
      <c r="Y145" s="385">
        <f>ROUND((O145*S145*E145*N145/1000000),4)</f>
        <v>0.40589999999999998</v>
      </c>
      <c r="Z145" s="385">
        <f>ROUND((P145*T145*E145*N145/1000000),4)</f>
        <v>0.106</v>
      </c>
      <c r="AA145" s="385">
        <f>ROUND((Q145*U145*E145*N145/1000000),4)</f>
        <v>4.5100000000000001E-2</v>
      </c>
      <c r="AB145" s="931" t="s">
        <v>48</v>
      </c>
      <c r="AC145" s="932" t="s">
        <v>49</v>
      </c>
      <c r="AD145" s="933">
        <f>ROUND((((W145*D145)/1800)*0.8),4)</f>
        <v>8.1000000000000003E-2</v>
      </c>
      <c r="AE145" s="933">
        <f>ROUND(((Y145+Z145+AA145)*0.8),4)</f>
        <v>0.4456</v>
      </c>
      <c r="AF145" s="61"/>
      <c r="AG145" s="61"/>
      <c r="AH145" s="61"/>
      <c r="AI145" s="61"/>
    </row>
    <row r="146" spans="1:35" s="417" customFormat="1" ht="15" customHeight="1" x14ac:dyDescent="0.2">
      <c r="A146" s="559"/>
      <c r="B146" s="399" t="s">
        <v>364</v>
      </c>
      <c r="C146" s="387"/>
      <c r="D146" s="209"/>
      <c r="E146" s="209"/>
      <c r="F146" s="209"/>
      <c r="G146" s="209"/>
      <c r="H146" s="209"/>
      <c r="I146" s="209"/>
      <c r="J146" s="209"/>
      <c r="K146" s="210"/>
      <c r="L146" s="210"/>
      <c r="M146" s="209"/>
      <c r="N146" s="209"/>
      <c r="O146" s="209"/>
      <c r="P146" s="209"/>
      <c r="Q146" s="209"/>
      <c r="R146" s="213"/>
      <c r="S146" s="215"/>
      <c r="T146" s="215"/>
      <c r="U146" s="215"/>
      <c r="V146" s="215"/>
      <c r="W146" s="215"/>
      <c r="X146" s="215"/>
      <c r="Y146" s="215"/>
      <c r="Z146" s="215"/>
      <c r="AA146" s="215"/>
      <c r="AB146" s="931" t="s">
        <v>51</v>
      </c>
      <c r="AC146" s="932" t="s">
        <v>52</v>
      </c>
      <c r="AD146" s="933">
        <f>ROUND((((W145*D145)/1800)*0.13),4)</f>
        <v>1.32E-2</v>
      </c>
      <c r="AE146" s="933">
        <f>ROUND(((Y145+Z145+AA145)*0.13),4)</f>
        <v>7.2400000000000006E-2</v>
      </c>
      <c r="AF146" s="61"/>
      <c r="AG146" s="61"/>
      <c r="AH146" s="61"/>
      <c r="AI146" s="61"/>
    </row>
    <row r="147" spans="1:35" s="417" customFormat="1" ht="15" customHeight="1" x14ac:dyDescent="0.2">
      <c r="A147" s="559"/>
      <c r="B147" s="387" t="s">
        <v>341</v>
      </c>
      <c r="C147" s="389"/>
      <c r="D147" s="209"/>
      <c r="E147" s="209"/>
      <c r="F147" s="209"/>
      <c r="G147" s="209"/>
      <c r="H147" s="209"/>
      <c r="I147" s="209"/>
      <c r="J147" s="209"/>
      <c r="K147" s="391">
        <v>0.51</v>
      </c>
      <c r="L147" s="391">
        <v>0.63</v>
      </c>
      <c r="M147" s="209"/>
      <c r="N147" s="209"/>
      <c r="O147" s="209"/>
      <c r="P147" s="209"/>
      <c r="Q147" s="209"/>
      <c r="R147" s="392">
        <v>0.25</v>
      </c>
      <c r="S147" s="207">
        <f>ROUND((K147*H145+1.3*K147*J145+R147*G145),4)</f>
        <v>186.74250000000001</v>
      </c>
      <c r="T147" s="207">
        <f>ROUND((L147*0.9*H145+1.3*L147*0.9*J145+R147*G145),4)</f>
        <v>205.93729999999999</v>
      </c>
      <c r="U147" s="207">
        <f>ROUND((L147*H145+1.3*L147*J145+R147*G145),4)</f>
        <v>227.1525</v>
      </c>
      <c r="V147" s="207">
        <f>ROUND((K147*I145+1.3*K147*M145+R147*F145),4)</f>
        <v>15.27</v>
      </c>
      <c r="W147" s="207">
        <f>ROUND((L147*0.9*I145+1.3*L147*0.9*M145+R147*F145),4)</f>
        <v>16.809000000000001</v>
      </c>
      <c r="X147" s="207">
        <f>ROUND((L147*I145+1.3*L147*M145+R147*F145),4)</f>
        <v>18.510000000000002</v>
      </c>
      <c r="Y147" s="385">
        <f>ROUND((O145*S147*E145*N145/1000000),4)</f>
        <v>3.3599999999999998E-2</v>
      </c>
      <c r="Z147" s="385">
        <f>ROUND((P145*T147*E145*N145/1000000),4)</f>
        <v>9.7000000000000003E-3</v>
      </c>
      <c r="AA147" s="385">
        <f>ROUND((Q145*U147*E145*N145/1000000),4)</f>
        <v>4.4999999999999997E-3</v>
      </c>
      <c r="AB147" s="931" t="s">
        <v>56</v>
      </c>
      <c r="AC147" s="932" t="s">
        <v>57</v>
      </c>
      <c r="AD147" s="933">
        <f>ROUND((((W147*D145)/1800)),4)</f>
        <v>9.2999999999999992E-3</v>
      </c>
      <c r="AE147" s="933">
        <f>ROUND(((Y147+Z147+AA147)),5)</f>
        <v>4.7800000000000002E-2</v>
      </c>
      <c r="AF147" s="61"/>
      <c r="AG147" s="61"/>
      <c r="AH147" s="61"/>
      <c r="AI147" s="61"/>
    </row>
    <row r="148" spans="1:35" s="417" customFormat="1" ht="15" customHeight="1" x14ac:dyDescent="0.2">
      <c r="A148" s="559"/>
      <c r="B148" s="387"/>
      <c r="C148" s="387"/>
      <c r="D148" s="209"/>
      <c r="E148" s="209"/>
      <c r="F148" s="209"/>
      <c r="G148" s="209"/>
      <c r="H148" s="209"/>
      <c r="I148" s="209"/>
      <c r="J148" s="209"/>
      <c r="K148" s="391">
        <v>1.1399999999999999</v>
      </c>
      <c r="L148" s="391">
        <v>1.37</v>
      </c>
      <c r="M148" s="209"/>
      <c r="N148" s="209"/>
      <c r="O148" s="209"/>
      <c r="P148" s="209"/>
      <c r="Q148" s="209"/>
      <c r="R148" s="393">
        <v>0.79</v>
      </c>
      <c r="S148" s="207">
        <f>ROUND((K148*H145+1.3*K148*J145+R148*G145),4)</f>
        <v>431.29500000000002</v>
      </c>
      <c r="T148" s="207">
        <f>ROUND((L148*0.9*H145+1.3*L148*0.9*J145+R148*G145),4)</f>
        <v>462.61279999999999</v>
      </c>
      <c r="U148" s="207">
        <f>ROUND((L148*H145+1.3*L148*J145+R148*G145),4)</f>
        <v>508.7475</v>
      </c>
      <c r="V148" s="207">
        <f>ROUND((K148*I145+1.3*K148*M145+R148*F145),4)</f>
        <v>35.520000000000003</v>
      </c>
      <c r="W148" s="207">
        <f>ROUND((L148*0.9*I145+1.3*L148*0.9*M145+R148*F145),4)</f>
        <v>38.030999999999999</v>
      </c>
      <c r="X148" s="207">
        <f>ROUND((L148*I145+1.3*M145+R148*F145),4)</f>
        <v>36.92</v>
      </c>
      <c r="Y148" s="385">
        <f>ROUND((O145*S148*E145*N145/1000000),4)</f>
        <v>7.7600000000000002E-2</v>
      </c>
      <c r="Z148" s="385">
        <f>ROUND((P145*T148*E145*N145/1000000),4)</f>
        <v>2.1700000000000001E-2</v>
      </c>
      <c r="AA148" s="385">
        <f>ROUND((Q145*U148*E145*N145/1000000),4)</f>
        <v>1.0200000000000001E-2</v>
      </c>
      <c r="AB148" s="931" t="s">
        <v>177</v>
      </c>
      <c r="AC148" s="932" t="s">
        <v>178</v>
      </c>
      <c r="AD148" s="933">
        <f>ROUND((((W148*D145)/1800)),4)</f>
        <v>2.1100000000000001E-2</v>
      </c>
      <c r="AE148" s="933">
        <f>ROUND(((Y148+Z148+AA148)),4)</f>
        <v>0.1095</v>
      </c>
      <c r="AF148" s="61"/>
      <c r="AG148" s="61"/>
      <c r="AH148" s="61"/>
      <c r="AI148" s="61"/>
    </row>
    <row r="149" spans="1:35" s="417" customFormat="1" ht="15" customHeight="1" x14ac:dyDescent="0.2">
      <c r="A149" s="559"/>
      <c r="B149" s="387"/>
      <c r="C149" s="387"/>
      <c r="D149" s="209"/>
      <c r="E149" s="209"/>
      <c r="F149" s="209"/>
      <c r="G149" s="209"/>
      <c r="H149" s="209"/>
      <c r="I149" s="209"/>
      <c r="J149" s="209"/>
      <c r="K149" s="391">
        <v>0.72</v>
      </c>
      <c r="L149" s="391">
        <v>1.08</v>
      </c>
      <c r="M149" s="209"/>
      <c r="N149" s="209"/>
      <c r="O149" s="209"/>
      <c r="P149" s="209"/>
      <c r="Q149" s="209"/>
      <c r="R149" s="393">
        <v>0.17</v>
      </c>
      <c r="S149" s="207">
        <f>ROUND((K149*H145+1.3*K149*J145+R149*G145),4)</f>
        <v>252.66</v>
      </c>
      <c r="T149" s="207">
        <f>ROUND((L149*0.9*H145+1.3*L149*0.9*J145+R149*G145),4)</f>
        <v>337.52100000000002</v>
      </c>
      <c r="U149" s="207">
        <f>ROUND((L149*H145+1.3*L149*J145+R149*G145),4)</f>
        <v>373.89</v>
      </c>
      <c r="V149" s="207">
        <f>ROUND((K149*I145+1.3*K149*M145+R149*F145),4)</f>
        <v>20.46</v>
      </c>
      <c r="W149" s="207">
        <f>ROUND((L149*0.9*I145+1.3*L149*0.9*M145+R149*F145),4)</f>
        <v>27.263999999999999</v>
      </c>
      <c r="X149" s="207">
        <f>ROUND((L149*I145+1.3*L149*M145+R149*F145),4)</f>
        <v>30.18</v>
      </c>
      <c r="Y149" s="385">
        <f>ROUND((O145*S149*E145*N145/1000000),4)</f>
        <v>4.5499999999999999E-2</v>
      </c>
      <c r="Z149" s="385">
        <f>ROUND((P145*T149*E145*N145/1000000),4)</f>
        <v>1.5900000000000001E-2</v>
      </c>
      <c r="AA149" s="385">
        <f>ROUND((Q145*U149*E145*N145/1000000),4)</f>
        <v>7.4999999999999997E-3</v>
      </c>
      <c r="AB149" s="931" t="s">
        <v>61</v>
      </c>
      <c r="AC149" s="932" t="s">
        <v>62</v>
      </c>
      <c r="AD149" s="933">
        <f>ROUND((((W149*D145)/1800)),4)</f>
        <v>1.5100000000000001E-2</v>
      </c>
      <c r="AE149" s="933">
        <f>ROUND(((Y149+Z149+AA149)),4)</f>
        <v>6.8900000000000003E-2</v>
      </c>
      <c r="AF149" s="61"/>
      <c r="AG149" s="61"/>
      <c r="AH149" s="61"/>
      <c r="AI149" s="61"/>
    </row>
    <row r="150" spans="1:35" s="417" customFormat="1" ht="15" customHeight="1" x14ac:dyDescent="0.2">
      <c r="A150" s="512"/>
      <c r="B150" s="214"/>
      <c r="C150" s="214"/>
      <c r="D150" s="210"/>
      <c r="E150" s="210"/>
      <c r="F150" s="210"/>
      <c r="G150" s="210"/>
      <c r="H150" s="210"/>
      <c r="I150" s="210"/>
      <c r="J150" s="210"/>
      <c r="K150" s="391">
        <v>3.37</v>
      </c>
      <c r="L150" s="391">
        <v>4.1100000000000003</v>
      </c>
      <c r="M150" s="210"/>
      <c r="N150" s="210"/>
      <c r="O150" s="210"/>
      <c r="P150" s="210"/>
      <c r="Q150" s="210"/>
      <c r="R150" s="393">
        <v>6.31</v>
      </c>
      <c r="S150" s="207">
        <f>ROUND((K150*H145+1.3*K150*J145+R150*G145),4)</f>
        <v>1513.4475</v>
      </c>
      <c r="T150" s="207">
        <f>ROUND((L150*0.9*H145+1.3*L150*0.9*J145+R150*G145),4)</f>
        <v>1624.2383</v>
      </c>
      <c r="U150" s="207">
        <f>ROUND((L150*H145+1.3*L150*J145+R150*G145),4)</f>
        <v>1762.6424999999999</v>
      </c>
      <c r="V150" s="207">
        <f>ROUND((K150*I145+1.3*K150*M145+R150*F145),4)</f>
        <v>128.85</v>
      </c>
      <c r="W150" s="207">
        <f>ROUND((L150*0.9*I145+1.3*L150*0.9*M145+R150*F145),4)</f>
        <v>137.733</v>
      </c>
      <c r="X150" s="207">
        <f>ROUND((L150*I145+1.3*L150*M145+R150*F145),4)</f>
        <v>148.83000000000001</v>
      </c>
      <c r="Y150" s="385">
        <f>ROUND((O145*S150*E145*N145/1000000),4)</f>
        <v>0.27239999999999998</v>
      </c>
      <c r="Z150" s="385">
        <f>ROUND((P145*T150*E145*N145/1000000),4)</f>
        <v>7.6300000000000007E-2</v>
      </c>
      <c r="AA150" s="385">
        <f>ROUND((Q145*U150*E145*N145/1000000),4)</f>
        <v>3.5299999999999998E-2</v>
      </c>
      <c r="AB150" s="931" t="s">
        <v>65</v>
      </c>
      <c r="AC150" s="932" t="s">
        <v>66</v>
      </c>
      <c r="AD150" s="933">
        <f>ROUND((((W150*D145)/1800)),4)</f>
        <v>7.6499999999999999E-2</v>
      </c>
      <c r="AE150" s="933">
        <f>ROUND(((Y150+Z150+AA150)),4)</f>
        <v>0.38400000000000001</v>
      </c>
      <c r="AF150" s="61"/>
      <c r="AG150" s="61"/>
      <c r="AH150" s="61"/>
      <c r="AI150" s="61"/>
    </row>
    <row r="151" spans="1:35" s="417" customFormat="1" ht="15" customHeight="1" x14ac:dyDescent="0.2">
      <c r="A151" s="1440" t="s">
        <v>370</v>
      </c>
      <c r="B151" s="1441"/>
      <c r="C151" s="1441"/>
      <c r="D151" s="1441"/>
      <c r="E151" s="1441"/>
      <c r="F151" s="1441"/>
      <c r="G151" s="1441"/>
      <c r="H151" s="1441"/>
      <c r="I151" s="1441"/>
      <c r="J151" s="1441"/>
      <c r="K151" s="1441"/>
      <c r="L151" s="1441"/>
      <c r="M151" s="1441"/>
      <c r="N151" s="1441"/>
      <c r="O151" s="1441"/>
      <c r="P151" s="1441"/>
      <c r="Q151" s="1441"/>
      <c r="R151" s="1442"/>
      <c r="S151" s="418"/>
      <c r="T151" s="418"/>
      <c r="U151" s="418"/>
      <c r="V151" s="418"/>
      <c r="W151" s="418"/>
      <c r="X151" s="418"/>
      <c r="Y151" s="418"/>
      <c r="Z151" s="418"/>
      <c r="AA151" s="418"/>
      <c r="AB151" s="924" t="s">
        <v>48</v>
      </c>
      <c r="AC151" s="925" t="s">
        <v>49</v>
      </c>
      <c r="AD151" s="926">
        <f>MAX(AD139,AD145)</f>
        <v>8.1000000000000003E-2</v>
      </c>
      <c r="AE151" s="926">
        <f t="shared" ref="AE151:AE156" si="2">AE139+AE145</f>
        <v>0.61560000000000004</v>
      </c>
      <c r="AF151" s="61"/>
      <c r="AG151" s="61"/>
      <c r="AH151" s="61"/>
      <c r="AI151" s="61"/>
    </row>
    <row r="152" spans="1:35" s="417" customFormat="1" ht="15" customHeight="1" x14ac:dyDescent="0.2">
      <c r="A152" s="1443"/>
      <c r="B152" s="1444"/>
      <c r="C152" s="1444"/>
      <c r="D152" s="1444"/>
      <c r="E152" s="1444"/>
      <c r="F152" s="1444"/>
      <c r="G152" s="1444"/>
      <c r="H152" s="1444"/>
      <c r="I152" s="1444"/>
      <c r="J152" s="1444"/>
      <c r="K152" s="1444"/>
      <c r="L152" s="1444"/>
      <c r="M152" s="1444"/>
      <c r="N152" s="1444"/>
      <c r="O152" s="1444"/>
      <c r="P152" s="1444"/>
      <c r="Q152" s="1444"/>
      <c r="R152" s="1445"/>
      <c r="S152" s="418"/>
      <c r="T152" s="418"/>
      <c r="U152" s="418"/>
      <c r="V152" s="418"/>
      <c r="W152" s="418"/>
      <c r="X152" s="418"/>
      <c r="Y152" s="418"/>
      <c r="Z152" s="418"/>
      <c r="AA152" s="418"/>
      <c r="AB152" s="924" t="s">
        <v>51</v>
      </c>
      <c r="AC152" s="925" t="s">
        <v>52</v>
      </c>
      <c r="AD152" s="926">
        <f t="shared" ref="AD152:AD156" si="3">MAX(AD140,AD146)</f>
        <v>1.32E-2</v>
      </c>
      <c r="AE152" s="926">
        <f t="shared" si="2"/>
        <v>0.1</v>
      </c>
      <c r="AF152" s="61"/>
      <c r="AG152" s="61"/>
      <c r="AH152" s="61"/>
      <c r="AI152" s="61"/>
    </row>
    <row r="153" spans="1:35" s="417" customFormat="1" ht="15" customHeight="1" x14ac:dyDescent="0.2">
      <c r="A153" s="1443"/>
      <c r="B153" s="1444"/>
      <c r="C153" s="1444"/>
      <c r="D153" s="1444"/>
      <c r="E153" s="1444"/>
      <c r="F153" s="1444"/>
      <c r="G153" s="1444"/>
      <c r="H153" s="1444"/>
      <c r="I153" s="1444"/>
      <c r="J153" s="1444"/>
      <c r="K153" s="1444"/>
      <c r="L153" s="1444"/>
      <c r="M153" s="1444"/>
      <c r="N153" s="1444"/>
      <c r="O153" s="1444"/>
      <c r="P153" s="1444"/>
      <c r="Q153" s="1444"/>
      <c r="R153" s="1445"/>
      <c r="S153" s="418"/>
      <c r="T153" s="418"/>
      <c r="U153" s="418"/>
      <c r="V153" s="418"/>
      <c r="W153" s="418"/>
      <c r="X153" s="418"/>
      <c r="Y153" s="418"/>
      <c r="Z153" s="418"/>
      <c r="AA153" s="418"/>
      <c r="AB153" s="924" t="s">
        <v>56</v>
      </c>
      <c r="AC153" s="925" t="s">
        <v>57</v>
      </c>
      <c r="AD153" s="926">
        <f t="shared" si="3"/>
        <v>9.2999999999999992E-3</v>
      </c>
      <c r="AE153" s="926">
        <f t="shared" si="2"/>
        <v>6.5600000000000006E-2</v>
      </c>
      <c r="AF153" s="61"/>
      <c r="AG153" s="61"/>
      <c r="AH153" s="61"/>
      <c r="AI153" s="61"/>
    </row>
    <row r="154" spans="1:35" s="417" customFormat="1" ht="15" customHeight="1" x14ac:dyDescent="0.2">
      <c r="A154" s="1443"/>
      <c r="B154" s="1444"/>
      <c r="C154" s="1444"/>
      <c r="D154" s="1444"/>
      <c r="E154" s="1444"/>
      <c r="F154" s="1444"/>
      <c r="G154" s="1444"/>
      <c r="H154" s="1444"/>
      <c r="I154" s="1444"/>
      <c r="J154" s="1444"/>
      <c r="K154" s="1444"/>
      <c r="L154" s="1444"/>
      <c r="M154" s="1444"/>
      <c r="N154" s="1444"/>
      <c r="O154" s="1444"/>
      <c r="P154" s="1444"/>
      <c r="Q154" s="1444"/>
      <c r="R154" s="1445"/>
      <c r="S154" s="418"/>
      <c r="T154" s="418"/>
      <c r="U154" s="418"/>
      <c r="V154" s="418"/>
      <c r="W154" s="418"/>
      <c r="X154" s="418"/>
      <c r="Y154" s="418"/>
      <c r="Z154" s="418"/>
      <c r="AA154" s="418"/>
      <c r="AB154" s="924" t="s">
        <v>177</v>
      </c>
      <c r="AC154" s="925" t="s">
        <v>178</v>
      </c>
      <c r="AD154" s="926">
        <f t="shared" si="3"/>
        <v>2.1100000000000001E-2</v>
      </c>
      <c r="AE154" s="926">
        <f t="shared" si="2"/>
        <v>0.1507</v>
      </c>
      <c r="AF154" s="61"/>
      <c r="AG154" s="61"/>
      <c r="AH154" s="61"/>
      <c r="AI154" s="61"/>
    </row>
    <row r="155" spans="1:35" s="417" customFormat="1" ht="15" customHeight="1" x14ac:dyDescent="0.2">
      <c r="A155" s="1443"/>
      <c r="B155" s="1444"/>
      <c r="C155" s="1444"/>
      <c r="D155" s="1444"/>
      <c r="E155" s="1444"/>
      <c r="F155" s="1444"/>
      <c r="G155" s="1444"/>
      <c r="H155" s="1444"/>
      <c r="I155" s="1444"/>
      <c r="J155" s="1444"/>
      <c r="K155" s="1444"/>
      <c r="L155" s="1444"/>
      <c r="M155" s="1444"/>
      <c r="N155" s="1444"/>
      <c r="O155" s="1444"/>
      <c r="P155" s="1444"/>
      <c r="Q155" s="1444"/>
      <c r="R155" s="1445"/>
      <c r="S155" s="418"/>
      <c r="T155" s="418"/>
      <c r="U155" s="418"/>
      <c r="V155" s="418"/>
      <c r="W155" s="418"/>
      <c r="X155" s="418"/>
      <c r="Y155" s="418"/>
      <c r="Z155" s="418"/>
      <c r="AA155" s="418"/>
      <c r="AB155" s="924" t="s">
        <v>61</v>
      </c>
      <c r="AC155" s="925" t="s">
        <v>62</v>
      </c>
      <c r="AD155" s="926">
        <f t="shared" si="3"/>
        <v>1.5100000000000001E-2</v>
      </c>
      <c r="AE155" s="926">
        <f t="shared" si="2"/>
        <v>9.4700000000000006E-2</v>
      </c>
      <c r="AF155" s="61"/>
      <c r="AG155" s="61"/>
      <c r="AH155" s="61"/>
      <c r="AI155" s="61"/>
    </row>
    <row r="156" spans="1:35" s="417" customFormat="1" ht="15" customHeight="1" x14ac:dyDescent="0.2">
      <c r="A156" s="1446"/>
      <c r="B156" s="1447"/>
      <c r="C156" s="1447"/>
      <c r="D156" s="1447"/>
      <c r="E156" s="1447"/>
      <c r="F156" s="1447"/>
      <c r="G156" s="1447"/>
      <c r="H156" s="1447"/>
      <c r="I156" s="1447"/>
      <c r="J156" s="1447"/>
      <c r="K156" s="1447"/>
      <c r="L156" s="1447"/>
      <c r="M156" s="1447"/>
      <c r="N156" s="1447"/>
      <c r="O156" s="1447"/>
      <c r="P156" s="1447"/>
      <c r="Q156" s="1447"/>
      <c r="R156" s="1448"/>
      <c r="S156" s="418"/>
      <c r="T156" s="418"/>
      <c r="U156" s="418"/>
      <c r="V156" s="418"/>
      <c r="W156" s="418"/>
      <c r="X156" s="418"/>
      <c r="Y156" s="418"/>
      <c r="Z156" s="418"/>
      <c r="AA156" s="418"/>
      <c r="AB156" s="924" t="s">
        <v>65</v>
      </c>
      <c r="AC156" s="925" t="s">
        <v>66</v>
      </c>
      <c r="AD156" s="926">
        <f t="shared" si="3"/>
        <v>7.6499999999999999E-2</v>
      </c>
      <c r="AE156" s="926">
        <f t="shared" si="2"/>
        <v>0.53069999999999995</v>
      </c>
      <c r="AF156" s="61">
        <f>SUM(AD151:AD156)</f>
        <v>0.2162</v>
      </c>
      <c r="AG156" s="61">
        <f>SUM(AE151:AE156)</f>
        <v>1.5572999999999999</v>
      </c>
      <c r="AH156" s="61"/>
      <c r="AI156" s="61"/>
    </row>
    <row r="157" spans="1:35" s="417" customFormat="1" ht="15" customHeight="1" x14ac:dyDescent="0.2">
      <c r="A157" s="1449" t="s">
        <v>397</v>
      </c>
      <c r="B157" s="1450"/>
      <c r="C157" s="1451"/>
      <c r="D157" s="1451"/>
      <c r="E157" s="1451"/>
      <c r="F157" s="1451"/>
      <c r="G157" s="1451"/>
      <c r="H157" s="1451"/>
      <c r="I157" s="1451"/>
      <c r="J157" s="1451"/>
      <c r="K157" s="1451"/>
      <c r="L157" s="1451"/>
      <c r="M157" s="1451"/>
      <c r="N157" s="1451"/>
      <c r="O157" s="1451"/>
      <c r="P157" s="1451"/>
      <c r="Q157" s="1451"/>
      <c r="R157" s="1451"/>
      <c r="S157" s="1451"/>
      <c r="T157" s="1451"/>
      <c r="U157" s="1451"/>
      <c r="V157" s="1451"/>
      <c r="W157" s="1451"/>
      <c r="X157" s="1451"/>
      <c r="Y157" s="1451"/>
      <c r="Z157" s="1451"/>
      <c r="AA157" s="1451"/>
      <c r="AB157" s="1451"/>
      <c r="AC157" s="1451"/>
      <c r="AD157" s="1451"/>
      <c r="AE157" s="1452"/>
      <c r="AF157" s="61"/>
      <c r="AG157" s="61"/>
      <c r="AH157" s="61"/>
      <c r="AI157" s="61"/>
    </row>
    <row r="158" spans="1:35" s="417" customFormat="1" ht="15" customHeight="1" x14ac:dyDescent="0.2">
      <c r="A158" s="551" t="s">
        <v>403</v>
      </c>
      <c r="B158" s="390" t="s">
        <v>404</v>
      </c>
      <c r="C158" s="212">
        <v>6</v>
      </c>
      <c r="D158" s="170">
        <v>1</v>
      </c>
      <c r="E158" s="170">
        <v>1</v>
      </c>
      <c r="F158" s="170">
        <v>6</v>
      </c>
      <c r="G158" s="170">
        <v>60</v>
      </c>
      <c r="H158" s="170">
        <f>(8-1-0.75*2)*60*E158-J158-8*0.12*60</f>
        <v>57.900000000000006</v>
      </c>
      <c r="I158" s="170">
        <v>14</v>
      </c>
      <c r="J158" s="170">
        <f>(8-1-0.75*2)*0.65*60*E158</f>
        <v>214.5</v>
      </c>
      <c r="K158" s="207">
        <v>6.47</v>
      </c>
      <c r="L158" s="207">
        <v>6.47</v>
      </c>
      <c r="M158" s="170">
        <v>10</v>
      </c>
      <c r="N158" s="170">
        <f>D158/E158</f>
        <v>1</v>
      </c>
      <c r="O158" s="170">
        <v>180</v>
      </c>
      <c r="P158" s="170">
        <v>90</v>
      </c>
      <c r="Q158" s="211">
        <v>95</v>
      </c>
      <c r="R158" s="211">
        <v>1.27</v>
      </c>
      <c r="S158" s="207">
        <f>ROUND((K158*H158+1.3*K158*J158+R158*G158),4)</f>
        <v>2254.9724999999999</v>
      </c>
      <c r="T158" s="207">
        <f>ROUND((L158*H158+1.3*L158*J158+R158*G158),4)</f>
        <v>2254.9724999999999</v>
      </c>
      <c r="U158" s="207">
        <f>ROUND((L158*H158+1.3*L158*J158+R158*G158),4)</f>
        <v>2254.9724999999999</v>
      </c>
      <c r="V158" s="207">
        <f>ROUND((K158*I158+1.3*K158*M158+R158*F158),4)</f>
        <v>182.31</v>
      </c>
      <c r="W158" s="207">
        <f>ROUND((L158*I158+1.3*L158*M158+R158*F158),4)</f>
        <v>182.31</v>
      </c>
      <c r="X158" s="207">
        <f>ROUND((L158*I158+1.3*L158*M158+R158*F158),4)</f>
        <v>182.31</v>
      </c>
      <c r="Y158" s="385">
        <f>ROUND((O158*S158*E158*N158/1000000),4)</f>
        <v>0.40589999999999998</v>
      </c>
      <c r="Z158" s="385">
        <f>ROUND((P158*T158*E158*N158/1000000),4)</f>
        <v>0.2029</v>
      </c>
      <c r="AA158" s="385">
        <f>ROUND((Q158*U158*E158*N158/1000000),4)</f>
        <v>0.2142</v>
      </c>
      <c r="AB158" s="931" t="s">
        <v>48</v>
      </c>
      <c r="AC158" s="932" t="s">
        <v>49</v>
      </c>
      <c r="AD158" s="933">
        <f>ROUND((((W158*D158)/1800)*0.8),4)</f>
        <v>8.1000000000000003E-2</v>
      </c>
      <c r="AE158" s="933">
        <f>ROUND(((Y158+Z158+AA158)*0.8),4)</f>
        <v>0.65839999999999999</v>
      </c>
      <c r="AF158" s="61"/>
      <c r="AG158" s="61"/>
      <c r="AH158" s="61"/>
      <c r="AI158" s="61"/>
    </row>
    <row r="159" spans="1:35" s="417" customFormat="1" ht="15" customHeight="1" x14ac:dyDescent="0.2">
      <c r="A159" s="552" t="s">
        <v>166</v>
      </c>
      <c r="B159" s="386" t="s">
        <v>405</v>
      </c>
      <c r="C159" s="387"/>
      <c r="D159" s="209"/>
      <c r="E159" s="209"/>
      <c r="F159" s="209"/>
      <c r="G159" s="209"/>
      <c r="H159" s="209"/>
      <c r="I159" s="209"/>
      <c r="J159" s="209"/>
      <c r="K159" s="210"/>
      <c r="L159" s="210"/>
      <c r="M159" s="209"/>
      <c r="N159" s="209"/>
      <c r="O159" s="209"/>
      <c r="P159" s="209"/>
      <c r="Q159" s="209"/>
      <c r="R159" s="213"/>
      <c r="S159" s="215"/>
      <c r="T159" s="215"/>
      <c r="U159" s="215"/>
      <c r="V159" s="215"/>
      <c r="W159" s="215"/>
      <c r="X159" s="215"/>
      <c r="Y159" s="215"/>
      <c r="Z159" s="215"/>
      <c r="AA159" s="215"/>
      <c r="AB159" s="931" t="s">
        <v>51</v>
      </c>
      <c r="AC159" s="932" t="s">
        <v>52</v>
      </c>
      <c r="AD159" s="933">
        <f>ROUND((((W158*D158)/1800)*0.13),4)</f>
        <v>1.32E-2</v>
      </c>
      <c r="AE159" s="933">
        <f>ROUND(((Y158+Z158+AA158)*0.13),4)</f>
        <v>0.107</v>
      </c>
      <c r="AF159" s="61"/>
      <c r="AG159" s="61"/>
      <c r="AH159" s="61"/>
      <c r="AI159" s="61"/>
    </row>
    <row r="160" spans="1:35" s="417" customFormat="1" ht="15" customHeight="1" x14ac:dyDescent="0.2">
      <c r="A160" s="559"/>
      <c r="B160" s="209" t="s">
        <v>341</v>
      </c>
      <c r="C160" s="389"/>
      <c r="D160" s="209"/>
      <c r="E160" s="209"/>
      <c r="F160" s="209"/>
      <c r="G160" s="209"/>
      <c r="H160" s="209"/>
      <c r="I160" s="209"/>
      <c r="J160" s="209"/>
      <c r="K160" s="391">
        <v>0.51</v>
      </c>
      <c r="L160" s="391">
        <v>0.63</v>
      </c>
      <c r="M160" s="209"/>
      <c r="N160" s="209"/>
      <c r="O160" s="209"/>
      <c r="P160" s="209"/>
      <c r="Q160" s="209"/>
      <c r="R160" s="392">
        <v>0.25</v>
      </c>
      <c r="S160" s="207">
        <f>ROUND((K160*H158+1.3*K160*J158+R160*G158),4)</f>
        <v>186.74250000000001</v>
      </c>
      <c r="T160" s="207">
        <f>ROUND((L160*0.9*H158+1.3*L160*0.9*J158+R160*G158),4)</f>
        <v>205.93729999999999</v>
      </c>
      <c r="U160" s="207">
        <f>ROUND((L160*H158+1.3*L160*J158+R160*G158),4)</f>
        <v>227.1525</v>
      </c>
      <c r="V160" s="207">
        <f>ROUND((K160*I158+1.3*K160*M158+R160*F158),4)</f>
        <v>15.27</v>
      </c>
      <c r="W160" s="207">
        <f>ROUND((L160*0.9*I158+1.3*L160*0.9*M158+R160*F158),4)</f>
        <v>16.809000000000001</v>
      </c>
      <c r="X160" s="207">
        <f>ROUND((L160*I158+1.3*L160*M158+R160*F158),4)</f>
        <v>18.510000000000002</v>
      </c>
      <c r="Y160" s="385">
        <f>ROUND((O158*S160*E158*N158/1000000),4)</f>
        <v>3.3599999999999998E-2</v>
      </c>
      <c r="Z160" s="385">
        <f>ROUND((P158*T160*E158*N158/1000000),4)</f>
        <v>1.8499999999999999E-2</v>
      </c>
      <c r="AA160" s="385">
        <f>ROUND((Q158*U160*E158*N158/1000000),4)</f>
        <v>2.1600000000000001E-2</v>
      </c>
      <c r="AB160" s="931" t="s">
        <v>56</v>
      </c>
      <c r="AC160" s="932" t="s">
        <v>57</v>
      </c>
      <c r="AD160" s="933">
        <f>ROUND((((W160*D158)/1800)),4)</f>
        <v>9.2999999999999992E-3</v>
      </c>
      <c r="AE160" s="933">
        <f>ROUND(((Y160+Z160+AA160)),5)</f>
        <v>7.3700000000000002E-2</v>
      </c>
      <c r="AF160" s="61"/>
      <c r="AG160" s="61"/>
      <c r="AH160" s="61"/>
      <c r="AI160" s="61"/>
    </row>
    <row r="161" spans="1:35" s="417" customFormat="1" ht="15" customHeight="1" x14ac:dyDescent="0.2">
      <c r="A161" s="559"/>
      <c r="B161" s="209"/>
      <c r="C161" s="387"/>
      <c r="D161" s="209"/>
      <c r="E161" s="209"/>
      <c r="F161" s="209"/>
      <c r="G161" s="209"/>
      <c r="H161" s="209"/>
      <c r="I161" s="209"/>
      <c r="J161" s="209"/>
      <c r="K161" s="391">
        <v>1.1399999999999999</v>
      </c>
      <c r="L161" s="391">
        <v>1.37</v>
      </c>
      <c r="M161" s="209"/>
      <c r="N161" s="209"/>
      <c r="O161" s="209"/>
      <c r="P161" s="209"/>
      <c r="Q161" s="209"/>
      <c r="R161" s="393">
        <v>0.79</v>
      </c>
      <c r="S161" s="207">
        <f>ROUND((K161*H158+1.3*K161*J158+R161*G158),4)</f>
        <v>431.29500000000002</v>
      </c>
      <c r="T161" s="207">
        <f>ROUND((L161*0.9*H158+1.3*L161*0.9*J158+R161*G158),4)</f>
        <v>462.61279999999999</v>
      </c>
      <c r="U161" s="207">
        <f>ROUND((L161*H158+1.3*L161*J158+R161*G158),4)</f>
        <v>508.7475</v>
      </c>
      <c r="V161" s="207">
        <f>ROUND((K161*I158+1.3*K161*M158+R161*F158),4)</f>
        <v>35.520000000000003</v>
      </c>
      <c r="W161" s="207">
        <f>ROUND((L161*0.9*I158+1.3*L161*0.9*M158+R161*F158),4)</f>
        <v>38.030999999999999</v>
      </c>
      <c r="X161" s="207">
        <f>ROUND((L161*I158+1.3*M158+R161*F158),4)</f>
        <v>36.92</v>
      </c>
      <c r="Y161" s="385">
        <f>ROUND((O158*S161*E158*N158/1000000),4)</f>
        <v>7.7600000000000002E-2</v>
      </c>
      <c r="Z161" s="385">
        <f>ROUND((P158*T161*E158*N158/1000000),4)</f>
        <v>4.1599999999999998E-2</v>
      </c>
      <c r="AA161" s="385">
        <f>ROUND((Q158*U161*E158*N158/1000000),4)</f>
        <v>4.8300000000000003E-2</v>
      </c>
      <c r="AB161" s="931" t="s">
        <v>177</v>
      </c>
      <c r="AC161" s="932" t="s">
        <v>178</v>
      </c>
      <c r="AD161" s="933">
        <f>ROUND((((W161*D158)/1800)),4)</f>
        <v>2.1100000000000001E-2</v>
      </c>
      <c r="AE161" s="933">
        <f>ROUND(((Y161+Z161+AA161)),4)</f>
        <v>0.16750000000000001</v>
      </c>
      <c r="AF161" s="61"/>
      <c r="AG161" s="61"/>
      <c r="AH161" s="61"/>
      <c r="AI161" s="61"/>
    </row>
    <row r="162" spans="1:35" s="417" customFormat="1" ht="15" customHeight="1" x14ac:dyDescent="0.2">
      <c r="A162" s="559"/>
      <c r="B162" s="209"/>
      <c r="C162" s="387"/>
      <c r="D162" s="209"/>
      <c r="E162" s="209"/>
      <c r="F162" s="209"/>
      <c r="G162" s="209"/>
      <c r="H162" s="209"/>
      <c r="I162" s="209"/>
      <c r="J162" s="209"/>
      <c r="K162" s="391">
        <v>0.72</v>
      </c>
      <c r="L162" s="391">
        <v>1.08</v>
      </c>
      <c r="M162" s="209"/>
      <c r="N162" s="209"/>
      <c r="O162" s="209"/>
      <c r="P162" s="209"/>
      <c r="Q162" s="209"/>
      <c r="R162" s="393">
        <v>0.17</v>
      </c>
      <c r="S162" s="207">
        <f>ROUND((K162*H158+1.3*K162*J158+R162*G158),4)</f>
        <v>252.66</v>
      </c>
      <c r="T162" s="207">
        <f>ROUND((L162*0.9*H158+1.3*L162*0.9*J158+R162*G158),4)</f>
        <v>337.52100000000002</v>
      </c>
      <c r="U162" s="207">
        <f>ROUND((L162*H158+1.3*L162*J158+R162*G158),4)</f>
        <v>373.89</v>
      </c>
      <c r="V162" s="207">
        <f>ROUND((K162*I158+1.3*K162*M158+R162*F158),4)</f>
        <v>20.46</v>
      </c>
      <c r="W162" s="207">
        <f>ROUND((L162*0.9*I158+1.3*L162*0.9*M158+R162*F158),4)</f>
        <v>27.263999999999999</v>
      </c>
      <c r="X162" s="207">
        <f>ROUND((L162*I158+1.3*L162*M158+R162*F158),4)</f>
        <v>30.18</v>
      </c>
      <c r="Y162" s="385">
        <f>ROUND((O158*S162*E158*N158/1000000),4)</f>
        <v>4.5499999999999999E-2</v>
      </c>
      <c r="Z162" s="385">
        <f>ROUND((P158*T162*E158*N158/1000000),4)</f>
        <v>3.04E-2</v>
      </c>
      <c r="AA162" s="385">
        <f>ROUND((Q158*U162*E158*N158/1000000),4)</f>
        <v>3.5499999999999997E-2</v>
      </c>
      <c r="AB162" s="931" t="s">
        <v>61</v>
      </c>
      <c r="AC162" s="932" t="s">
        <v>62</v>
      </c>
      <c r="AD162" s="933">
        <f>ROUND((((W162*D158)/1800)),4)</f>
        <v>1.5100000000000001E-2</v>
      </c>
      <c r="AE162" s="933">
        <f>ROUND(((Y162+Z162+AA162)),4)</f>
        <v>0.1114</v>
      </c>
      <c r="AF162" s="61"/>
      <c r="AG162" s="61"/>
      <c r="AH162" s="61"/>
      <c r="AI162" s="61"/>
    </row>
    <row r="163" spans="1:35" s="417" customFormat="1" ht="15" customHeight="1" x14ac:dyDescent="0.2">
      <c r="A163" s="559"/>
      <c r="B163" s="210"/>
      <c r="C163" s="214"/>
      <c r="D163" s="210"/>
      <c r="E163" s="210"/>
      <c r="F163" s="210"/>
      <c r="G163" s="210"/>
      <c r="H163" s="210"/>
      <c r="I163" s="210"/>
      <c r="J163" s="210"/>
      <c r="K163" s="391">
        <v>3.37</v>
      </c>
      <c r="L163" s="391">
        <v>4.1100000000000003</v>
      </c>
      <c r="M163" s="210"/>
      <c r="N163" s="210"/>
      <c r="O163" s="210"/>
      <c r="P163" s="210"/>
      <c r="Q163" s="210"/>
      <c r="R163" s="393">
        <v>6.31</v>
      </c>
      <c r="S163" s="207">
        <f>ROUND((K163*H158+1.3*K163*J158+R163*G158),4)</f>
        <v>1513.4475</v>
      </c>
      <c r="T163" s="207">
        <f>ROUND((L163*0.9*H158+1.3*L163*0.9*J158+R163*G158),4)</f>
        <v>1624.2383</v>
      </c>
      <c r="U163" s="207">
        <f>ROUND((L163*H158+1.3*L163*J158+R163*G158),4)</f>
        <v>1762.6424999999999</v>
      </c>
      <c r="V163" s="207">
        <f>ROUND((K163*I158+1.3*K163*M158+R163*F158),4)</f>
        <v>128.85</v>
      </c>
      <c r="W163" s="207">
        <f>ROUND((L163*0.9*I158+1.3*L163*0.9*M158+R163*F158),4)</f>
        <v>137.733</v>
      </c>
      <c r="X163" s="207">
        <f>ROUND((L163*I158+1.3*L163*M158+R163*F158),4)</f>
        <v>148.83000000000001</v>
      </c>
      <c r="Y163" s="385">
        <f>ROUND((O158*S163*E158*N158/1000000),4)</f>
        <v>0.27239999999999998</v>
      </c>
      <c r="Z163" s="385">
        <f>ROUND((P158*T163*E158*N158/1000000),4)</f>
        <v>0.1462</v>
      </c>
      <c r="AA163" s="385">
        <f>ROUND((Q158*U163*E158*N158/1000000),4)</f>
        <v>0.16750000000000001</v>
      </c>
      <c r="AB163" s="931" t="s">
        <v>65</v>
      </c>
      <c r="AC163" s="932" t="s">
        <v>66</v>
      </c>
      <c r="AD163" s="933">
        <f>ROUND((((W163*D158)/1800)),4)</f>
        <v>7.6499999999999999E-2</v>
      </c>
      <c r="AE163" s="933">
        <f>ROUND(((Y163+Z163+AA163)),4)</f>
        <v>0.58609999999999995</v>
      </c>
      <c r="AF163" s="61"/>
      <c r="AG163" s="61"/>
      <c r="AH163" s="61"/>
      <c r="AI163" s="61"/>
    </row>
    <row r="164" spans="1:35" s="417" customFormat="1" ht="15" customHeight="1" x14ac:dyDescent="0.2">
      <c r="A164" s="559"/>
      <c r="B164" s="390" t="s">
        <v>406</v>
      </c>
      <c r="C164" s="212">
        <v>6</v>
      </c>
      <c r="D164" s="170">
        <v>1</v>
      </c>
      <c r="E164" s="170">
        <v>1</v>
      </c>
      <c r="F164" s="170">
        <v>6</v>
      </c>
      <c r="G164" s="170">
        <v>60</v>
      </c>
      <c r="H164" s="170">
        <f>(8-1-0.75*2)*60*E164-J164-8*0.12*60</f>
        <v>57.900000000000006</v>
      </c>
      <c r="I164" s="170">
        <v>14</v>
      </c>
      <c r="J164" s="170">
        <f>(8-1-0.75*2)*0.65*60*E164</f>
        <v>214.5</v>
      </c>
      <c r="K164" s="207">
        <v>6.47</v>
      </c>
      <c r="L164" s="207">
        <v>6.47</v>
      </c>
      <c r="M164" s="170">
        <v>10</v>
      </c>
      <c r="N164" s="170">
        <f>D164/E164</f>
        <v>1</v>
      </c>
      <c r="O164" s="170">
        <v>180</v>
      </c>
      <c r="P164" s="170">
        <v>90</v>
      </c>
      <c r="Q164" s="211">
        <v>95</v>
      </c>
      <c r="R164" s="211">
        <v>1.27</v>
      </c>
      <c r="S164" s="207">
        <f>ROUND((K164*H164+1.3*K164*J164+R164*G164),4)</f>
        <v>2254.9724999999999</v>
      </c>
      <c r="T164" s="207">
        <f>ROUND((L164*H164+1.3*L164*J164+R164*G164),4)</f>
        <v>2254.9724999999999</v>
      </c>
      <c r="U164" s="207">
        <f>ROUND((L164*H164+1.3*L164*J164+R164*G164),4)</f>
        <v>2254.9724999999999</v>
      </c>
      <c r="V164" s="207">
        <f>ROUND((K164*I164+1.3*K164*M164+R164*F164),4)</f>
        <v>182.31</v>
      </c>
      <c r="W164" s="207">
        <f>ROUND((L164*I164+1.3*L164*M164+R164*F164),4)</f>
        <v>182.31</v>
      </c>
      <c r="X164" s="207">
        <f>ROUND((L164*I164+1.3*L164*M164+R164*F164),4)</f>
        <v>182.31</v>
      </c>
      <c r="Y164" s="385">
        <f>ROUND((O164*S164*E164*N164/1000000),4)</f>
        <v>0.40589999999999998</v>
      </c>
      <c r="Z164" s="385">
        <f>ROUND((P164*T164*E164*N164/1000000),4)</f>
        <v>0.2029</v>
      </c>
      <c r="AA164" s="385">
        <f>ROUND((Q164*U164*E164*N164/1000000),4)</f>
        <v>0.2142</v>
      </c>
      <c r="AB164" s="931" t="s">
        <v>48</v>
      </c>
      <c r="AC164" s="932" t="s">
        <v>49</v>
      </c>
      <c r="AD164" s="933">
        <f>ROUND((((W164*D164)/1800)*0.8),4)</f>
        <v>8.1000000000000003E-2</v>
      </c>
      <c r="AE164" s="933">
        <f>ROUND(((Y164+Z164+AA164)*0.8),4)</f>
        <v>0.65839999999999999</v>
      </c>
      <c r="AF164" s="61"/>
      <c r="AG164" s="61"/>
      <c r="AH164" s="61"/>
      <c r="AI164" s="61"/>
    </row>
    <row r="165" spans="1:35" s="417" customFormat="1" ht="15" customHeight="1" x14ac:dyDescent="0.2">
      <c r="A165" s="559"/>
      <c r="B165" s="386" t="s">
        <v>407</v>
      </c>
      <c r="C165" s="387"/>
      <c r="D165" s="209"/>
      <c r="E165" s="209"/>
      <c r="F165" s="209"/>
      <c r="G165" s="209"/>
      <c r="H165" s="209"/>
      <c r="I165" s="209"/>
      <c r="J165" s="209"/>
      <c r="K165" s="210"/>
      <c r="L165" s="210"/>
      <c r="M165" s="209"/>
      <c r="N165" s="209"/>
      <c r="O165" s="209"/>
      <c r="P165" s="209"/>
      <c r="Q165" s="209"/>
      <c r="R165" s="213"/>
      <c r="S165" s="215"/>
      <c r="T165" s="215"/>
      <c r="U165" s="215"/>
      <c r="V165" s="215"/>
      <c r="W165" s="215"/>
      <c r="X165" s="215"/>
      <c r="Y165" s="215"/>
      <c r="Z165" s="215"/>
      <c r="AA165" s="215"/>
      <c r="AB165" s="931" t="s">
        <v>51</v>
      </c>
      <c r="AC165" s="932" t="s">
        <v>52</v>
      </c>
      <c r="AD165" s="933">
        <f>ROUND((((W164*D164)/1800)*0.13),4)</f>
        <v>1.32E-2</v>
      </c>
      <c r="AE165" s="933">
        <f>ROUND(((Y164+Z164+AA164)*0.13),4)</f>
        <v>0.107</v>
      </c>
      <c r="AF165" s="61"/>
      <c r="AG165" s="61"/>
      <c r="AH165" s="61"/>
      <c r="AI165" s="61"/>
    </row>
    <row r="166" spans="1:35" s="417" customFormat="1" ht="15" customHeight="1" x14ac:dyDescent="0.2">
      <c r="A166" s="559"/>
      <c r="B166" s="209" t="s">
        <v>341</v>
      </c>
      <c r="C166" s="389"/>
      <c r="D166" s="209"/>
      <c r="E166" s="209"/>
      <c r="F166" s="209"/>
      <c r="G166" s="209"/>
      <c r="H166" s="209"/>
      <c r="I166" s="209"/>
      <c r="J166" s="209"/>
      <c r="K166" s="391">
        <v>0.51</v>
      </c>
      <c r="L166" s="391">
        <v>0.63</v>
      </c>
      <c r="M166" s="209"/>
      <c r="N166" s="209"/>
      <c r="O166" s="209"/>
      <c r="P166" s="209"/>
      <c r="Q166" s="209"/>
      <c r="R166" s="392">
        <v>0.25</v>
      </c>
      <c r="S166" s="207">
        <f>ROUND((K166*H164+1.3*K166*J164+R166*G164),4)</f>
        <v>186.74250000000001</v>
      </c>
      <c r="T166" s="207">
        <f>ROUND((L166*0.9*H164+1.3*L166*0.9*J164+R166*G164),4)</f>
        <v>205.93729999999999</v>
      </c>
      <c r="U166" s="207">
        <f>ROUND((L166*H164+1.3*L166*J164+R166*G164),4)</f>
        <v>227.1525</v>
      </c>
      <c r="V166" s="207">
        <f>ROUND((K166*I164+1.3*K166*M164+R166*F164),4)</f>
        <v>15.27</v>
      </c>
      <c r="W166" s="207">
        <f>ROUND((L166*0.9*I164+1.3*L166*0.9*M164+R166*F164),4)</f>
        <v>16.809000000000001</v>
      </c>
      <c r="X166" s="207">
        <f>ROUND((L166*I164+1.3*L166*M164+R166*F164),4)</f>
        <v>18.510000000000002</v>
      </c>
      <c r="Y166" s="385">
        <f>ROUND((O164*S166*E164*N164/1000000),4)</f>
        <v>3.3599999999999998E-2</v>
      </c>
      <c r="Z166" s="385">
        <f>ROUND((P164*T166*E164*N164/1000000),4)</f>
        <v>1.8499999999999999E-2</v>
      </c>
      <c r="AA166" s="385">
        <f>ROUND((Q164*U166*E164*N164/1000000),4)</f>
        <v>2.1600000000000001E-2</v>
      </c>
      <c r="AB166" s="931" t="s">
        <v>56</v>
      </c>
      <c r="AC166" s="932" t="s">
        <v>57</v>
      </c>
      <c r="AD166" s="933">
        <f>ROUND((((W166*D164)/1800)),4)</f>
        <v>9.2999999999999992E-3</v>
      </c>
      <c r="AE166" s="933">
        <f>ROUND(((Y166+Z166+AA166)),5)</f>
        <v>7.3700000000000002E-2</v>
      </c>
      <c r="AF166" s="61"/>
      <c r="AG166" s="61"/>
      <c r="AH166" s="61"/>
      <c r="AI166" s="61"/>
    </row>
    <row r="167" spans="1:35" s="417" customFormat="1" ht="15" customHeight="1" x14ac:dyDescent="0.2">
      <c r="A167" s="559"/>
      <c r="B167" s="209"/>
      <c r="C167" s="387"/>
      <c r="D167" s="209"/>
      <c r="E167" s="209"/>
      <c r="F167" s="209"/>
      <c r="G167" s="209"/>
      <c r="H167" s="209"/>
      <c r="I167" s="209"/>
      <c r="J167" s="209"/>
      <c r="K167" s="391">
        <v>1.1399999999999999</v>
      </c>
      <c r="L167" s="391">
        <v>1.37</v>
      </c>
      <c r="M167" s="209"/>
      <c r="N167" s="209"/>
      <c r="O167" s="209"/>
      <c r="P167" s="209"/>
      <c r="Q167" s="209"/>
      <c r="R167" s="393">
        <v>0.79</v>
      </c>
      <c r="S167" s="207">
        <f>ROUND((K167*H164+1.3*K167*J164+R167*G164),4)</f>
        <v>431.29500000000002</v>
      </c>
      <c r="T167" s="207">
        <f>ROUND((L167*0.9*H164+1.3*L167*0.9*J164+R167*G164),4)</f>
        <v>462.61279999999999</v>
      </c>
      <c r="U167" s="207">
        <f>ROUND((L167*H164+1.3*L167*J164+R167*G164),4)</f>
        <v>508.7475</v>
      </c>
      <c r="V167" s="207">
        <f>ROUND((K167*I164+1.3*K167*M164+R167*F164),4)</f>
        <v>35.520000000000003</v>
      </c>
      <c r="W167" s="207">
        <f>ROUND((L167*0.9*I164+1.3*L167*0.9*M164+R167*F164),4)</f>
        <v>38.030999999999999</v>
      </c>
      <c r="X167" s="207">
        <f>ROUND((L167*I164+1.3*M164+R167*F164),4)</f>
        <v>36.92</v>
      </c>
      <c r="Y167" s="385">
        <f>ROUND((O164*S167*E164*N164/1000000),4)</f>
        <v>7.7600000000000002E-2</v>
      </c>
      <c r="Z167" s="385">
        <f>ROUND((P164*T167*E164*N164/1000000),4)</f>
        <v>4.1599999999999998E-2</v>
      </c>
      <c r="AA167" s="385">
        <f>ROUND((Q164*U167*E164*N164/1000000),4)</f>
        <v>4.8300000000000003E-2</v>
      </c>
      <c r="AB167" s="931" t="s">
        <v>177</v>
      </c>
      <c r="AC167" s="932" t="s">
        <v>178</v>
      </c>
      <c r="AD167" s="933">
        <f>ROUND((((W167*D164)/1800)),4)</f>
        <v>2.1100000000000001E-2</v>
      </c>
      <c r="AE167" s="933">
        <f>ROUND(((Y167+Z167+AA167)),4)</f>
        <v>0.16750000000000001</v>
      </c>
      <c r="AF167" s="61"/>
      <c r="AG167" s="61"/>
      <c r="AH167" s="61"/>
      <c r="AI167" s="61"/>
    </row>
    <row r="168" spans="1:35" s="417" customFormat="1" ht="15" customHeight="1" x14ac:dyDescent="0.2">
      <c r="A168" s="559"/>
      <c r="B168" s="209"/>
      <c r="C168" s="387"/>
      <c r="D168" s="209"/>
      <c r="E168" s="209"/>
      <c r="F168" s="209"/>
      <c r="G168" s="209"/>
      <c r="H168" s="209"/>
      <c r="I168" s="209"/>
      <c r="J168" s="209"/>
      <c r="K168" s="391">
        <v>0.72</v>
      </c>
      <c r="L168" s="391">
        <v>1.08</v>
      </c>
      <c r="M168" s="209"/>
      <c r="N168" s="209"/>
      <c r="O168" s="209"/>
      <c r="P168" s="209"/>
      <c r="Q168" s="209"/>
      <c r="R168" s="393">
        <v>0.17</v>
      </c>
      <c r="S168" s="207">
        <f>ROUND((K168*H164+1.3*K168*J164+R168*G164),4)</f>
        <v>252.66</v>
      </c>
      <c r="T168" s="207">
        <f>ROUND((L168*0.9*H164+1.3*L168*0.9*J164+R168*G164),4)</f>
        <v>337.52100000000002</v>
      </c>
      <c r="U168" s="207">
        <f>ROUND((L168*H164+1.3*L168*J164+R168*G164),4)</f>
        <v>373.89</v>
      </c>
      <c r="V168" s="207">
        <f>ROUND((K168*I164+1.3*K168*M164+R168*F164),4)</f>
        <v>20.46</v>
      </c>
      <c r="W168" s="207">
        <f>ROUND((L168*0.9*I164+1.3*L168*0.9*M164+R168*F164),4)</f>
        <v>27.263999999999999</v>
      </c>
      <c r="X168" s="207">
        <f>ROUND((L168*I164+1.3*L168*M164+R168*F164),4)</f>
        <v>30.18</v>
      </c>
      <c r="Y168" s="385">
        <f>ROUND((O164*S168*E164*N164/1000000),4)</f>
        <v>4.5499999999999999E-2</v>
      </c>
      <c r="Z168" s="385">
        <f>ROUND((P164*T168*E164*N164/1000000),4)</f>
        <v>3.04E-2</v>
      </c>
      <c r="AA168" s="385">
        <f>ROUND((Q164*U168*E164*N164/1000000),4)</f>
        <v>3.5499999999999997E-2</v>
      </c>
      <c r="AB168" s="931" t="s">
        <v>61</v>
      </c>
      <c r="AC168" s="932" t="s">
        <v>62</v>
      </c>
      <c r="AD168" s="933">
        <f>ROUND((((W168*D164)/1800)),4)</f>
        <v>1.5100000000000001E-2</v>
      </c>
      <c r="AE168" s="933">
        <f>ROUND(((Y168+Z168+AA168)),4)</f>
        <v>0.1114</v>
      </c>
      <c r="AF168" s="61"/>
      <c r="AG168" s="61"/>
      <c r="AH168" s="61"/>
      <c r="AI168" s="61"/>
    </row>
    <row r="169" spans="1:35" s="417" customFormat="1" ht="15" customHeight="1" x14ac:dyDescent="0.2">
      <c r="A169" s="512"/>
      <c r="B169" s="210"/>
      <c r="C169" s="214"/>
      <c r="D169" s="210"/>
      <c r="E169" s="210"/>
      <c r="F169" s="210"/>
      <c r="G169" s="210"/>
      <c r="H169" s="210"/>
      <c r="I169" s="210"/>
      <c r="J169" s="210"/>
      <c r="K169" s="391">
        <v>3.37</v>
      </c>
      <c r="L169" s="391">
        <v>4.1100000000000003</v>
      </c>
      <c r="M169" s="210"/>
      <c r="N169" s="210"/>
      <c r="O169" s="210"/>
      <c r="P169" s="210"/>
      <c r="Q169" s="210"/>
      <c r="R169" s="393">
        <v>6.31</v>
      </c>
      <c r="S169" s="207">
        <f>ROUND((K169*H164+1.3*K169*J164+R169*G164),4)</f>
        <v>1513.4475</v>
      </c>
      <c r="T169" s="207">
        <f>ROUND((L169*0.9*H164+1.3*L169*0.9*J164+R169*G164),4)</f>
        <v>1624.2383</v>
      </c>
      <c r="U169" s="207">
        <f>ROUND((L169*H164+1.3*L169*J164+R169*G164),4)</f>
        <v>1762.6424999999999</v>
      </c>
      <c r="V169" s="207">
        <f>ROUND((K169*I164+1.3*K169*M164+R169*F164),4)</f>
        <v>128.85</v>
      </c>
      <c r="W169" s="207">
        <f>ROUND((L169*0.9*I164+1.3*L169*0.9*M164+R169*F164),4)</f>
        <v>137.733</v>
      </c>
      <c r="X169" s="207">
        <f>ROUND((L169*I164+1.3*L169*M164+R169*F164),4)</f>
        <v>148.83000000000001</v>
      </c>
      <c r="Y169" s="385">
        <f>ROUND((O164*S169*E164*N164/1000000),4)</f>
        <v>0.27239999999999998</v>
      </c>
      <c r="Z169" s="385">
        <f>ROUND((P164*T169*E164*N164/1000000),4)</f>
        <v>0.1462</v>
      </c>
      <c r="AA169" s="385">
        <f>ROUND((Q164*U169*E164*N164/1000000),4)</f>
        <v>0.16750000000000001</v>
      </c>
      <c r="AB169" s="931" t="s">
        <v>65</v>
      </c>
      <c r="AC169" s="932" t="s">
        <v>66</v>
      </c>
      <c r="AD169" s="933">
        <f>ROUND((((W169*D164)/1800)),4)</f>
        <v>7.6499999999999999E-2</v>
      </c>
      <c r="AE169" s="933">
        <f>ROUND(((Y169+Z169+AA169)),4)</f>
        <v>0.58609999999999995</v>
      </c>
      <c r="AF169" s="61"/>
      <c r="AG169" s="61"/>
      <c r="AH169" s="61"/>
      <c r="AI169" s="61"/>
    </row>
    <row r="170" spans="1:35" s="417" customFormat="1" ht="15" customHeight="1" x14ac:dyDescent="0.2">
      <c r="A170" s="1453" t="s">
        <v>408</v>
      </c>
      <c r="B170" s="1454"/>
      <c r="C170" s="1454"/>
      <c r="D170" s="1454"/>
      <c r="E170" s="1454"/>
      <c r="F170" s="1454"/>
      <c r="G170" s="1454"/>
      <c r="H170" s="1454"/>
      <c r="I170" s="1454"/>
      <c r="J170" s="1454"/>
      <c r="K170" s="1454"/>
      <c r="L170" s="1454"/>
      <c r="M170" s="1454"/>
      <c r="N170" s="1454"/>
      <c r="O170" s="1454"/>
      <c r="P170" s="1454"/>
      <c r="Q170" s="1454"/>
      <c r="R170" s="1455"/>
      <c r="S170" s="923"/>
      <c r="T170" s="923"/>
      <c r="U170" s="923"/>
      <c r="V170" s="923"/>
      <c r="W170" s="923"/>
      <c r="X170" s="923"/>
      <c r="Y170" s="923"/>
      <c r="Z170" s="923"/>
      <c r="AA170" s="923"/>
      <c r="AB170" s="924" t="s">
        <v>48</v>
      </c>
      <c r="AC170" s="925" t="s">
        <v>49</v>
      </c>
      <c r="AD170" s="926">
        <f>MAX(AD158,AD164)</f>
        <v>8.1000000000000003E-2</v>
      </c>
      <c r="AE170" s="926">
        <f t="shared" ref="AE170:AE175" si="4">AE158+AE164</f>
        <v>1.3168</v>
      </c>
      <c r="AF170" s="61"/>
      <c r="AG170" s="61"/>
      <c r="AH170" s="61"/>
      <c r="AI170" s="61"/>
    </row>
    <row r="171" spans="1:35" s="417" customFormat="1" ht="15" customHeight="1" x14ac:dyDescent="0.2">
      <c r="A171" s="1456"/>
      <c r="B171" s="1457"/>
      <c r="C171" s="1457"/>
      <c r="D171" s="1457"/>
      <c r="E171" s="1457"/>
      <c r="F171" s="1457"/>
      <c r="G171" s="1457"/>
      <c r="H171" s="1457"/>
      <c r="I171" s="1457"/>
      <c r="J171" s="1457"/>
      <c r="K171" s="1457"/>
      <c r="L171" s="1457"/>
      <c r="M171" s="1457"/>
      <c r="N171" s="1457"/>
      <c r="O171" s="1457"/>
      <c r="P171" s="1457"/>
      <c r="Q171" s="1457"/>
      <c r="R171" s="1458"/>
      <c r="S171" s="923"/>
      <c r="T171" s="923"/>
      <c r="U171" s="923"/>
      <c r="V171" s="923"/>
      <c r="W171" s="923"/>
      <c r="X171" s="923"/>
      <c r="Y171" s="923"/>
      <c r="Z171" s="923"/>
      <c r="AA171" s="923"/>
      <c r="AB171" s="924" t="s">
        <v>51</v>
      </c>
      <c r="AC171" s="925" t="s">
        <v>52</v>
      </c>
      <c r="AD171" s="926">
        <f t="shared" ref="AD171:AD175" si="5">MAX(AD159,AD165)</f>
        <v>1.32E-2</v>
      </c>
      <c r="AE171" s="926">
        <f t="shared" si="4"/>
        <v>0.214</v>
      </c>
      <c r="AF171" s="61"/>
      <c r="AG171" s="61"/>
      <c r="AH171" s="61"/>
      <c r="AI171" s="61"/>
    </row>
    <row r="172" spans="1:35" s="417" customFormat="1" ht="15" customHeight="1" x14ac:dyDescent="0.2">
      <c r="A172" s="1456"/>
      <c r="B172" s="1457"/>
      <c r="C172" s="1457"/>
      <c r="D172" s="1457"/>
      <c r="E172" s="1457"/>
      <c r="F172" s="1457"/>
      <c r="G172" s="1457"/>
      <c r="H172" s="1457"/>
      <c r="I172" s="1457"/>
      <c r="J172" s="1457"/>
      <c r="K172" s="1457"/>
      <c r="L172" s="1457"/>
      <c r="M172" s="1457"/>
      <c r="N172" s="1457"/>
      <c r="O172" s="1457"/>
      <c r="P172" s="1457"/>
      <c r="Q172" s="1457"/>
      <c r="R172" s="1458"/>
      <c r="S172" s="923"/>
      <c r="T172" s="923"/>
      <c r="U172" s="923"/>
      <c r="V172" s="923"/>
      <c r="W172" s="923"/>
      <c r="X172" s="923"/>
      <c r="Y172" s="923"/>
      <c r="Z172" s="923"/>
      <c r="AA172" s="923"/>
      <c r="AB172" s="924" t="s">
        <v>56</v>
      </c>
      <c r="AC172" s="925" t="s">
        <v>57</v>
      </c>
      <c r="AD172" s="926">
        <f t="shared" si="5"/>
        <v>9.2999999999999992E-3</v>
      </c>
      <c r="AE172" s="926">
        <f t="shared" si="4"/>
        <v>0.1474</v>
      </c>
      <c r="AF172" s="61"/>
      <c r="AG172" s="61"/>
      <c r="AH172" s="61"/>
      <c r="AI172" s="61"/>
    </row>
    <row r="173" spans="1:35" s="417" customFormat="1" ht="15" customHeight="1" x14ac:dyDescent="0.2">
      <c r="A173" s="1456"/>
      <c r="B173" s="1457"/>
      <c r="C173" s="1457"/>
      <c r="D173" s="1457"/>
      <c r="E173" s="1457"/>
      <c r="F173" s="1457"/>
      <c r="G173" s="1457"/>
      <c r="H173" s="1457"/>
      <c r="I173" s="1457"/>
      <c r="J173" s="1457"/>
      <c r="K173" s="1457"/>
      <c r="L173" s="1457"/>
      <c r="M173" s="1457"/>
      <c r="N173" s="1457"/>
      <c r="O173" s="1457"/>
      <c r="P173" s="1457"/>
      <c r="Q173" s="1457"/>
      <c r="R173" s="1458"/>
      <c r="S173" s="923"/>
      <c r="T173" s="923"/>
      <c r="U173" s="923"/>
      <c r="V173" s="923"/>
      <c r="W173" s="923"/>
      <c r="X173" s="923"/>
      <c r="Y173" s="923"/>
      <c r="Z173" s="923"/>
      <c r="AA173" s="923"/>
      <c r="AB173" s="924" t="s">
        <v>177</v>
      </c>
      <c r="AC173" s="925" t="s">
        <v>178</v>
      </c>
      <c r="AD173" s="926">
        <f t="shared" si="5"/>
        <v>2.1100000000000001E-2</v>
      </c>
      <c r="AE173" s="926">
        <f t="shared" si="4"/>
        <v>0.33500000000000002</v>
      </c>
      <c r="AF173" s="61"/>
      <c r="AG173" s="61"/>
      <c r="AH173" s="61"/>
      <c r="AI173" s="61"/>
    </row>
    <row r="174" spans="1:35" s="417" customFormat="1" ht="15" customHeight="1" x14ac:dyDescent="0.2">
      <c r="A174" s="1456"/>
      <c r="B174" s="1457"/>
      <c r="C174" s="1457"/>
      <c r="D174" s="1457"/>
      <c r="E174" s="1457"/>
      <c r="F174" s="1457"/>
      <c r="G174" s="1457"/>
      <c r="H174" s="1457"/>
      <c r="I174" s="1457"/>
      <c r="J174" s="1457"/>
      <c r="K174" s="1457"/>
      <c r="L174" s="1457"/>
      <c r="M174" s="1457"/>
      <c r="N174" s="1457"/>
      <c r="O174" s="1457"/>
      <c r="P174" s="1457"/>
      <c r="Q174" s="1457"/>
      <c r="R174" s="1458"/>
      <c r="S174" s="923"/>
      <c r="T174" s="923"/>
      <c r="U174" s="923"/>
      <c r="V174" s="923"/>
      <c r="W174" s="923"/>
      <c r="X174" s="923"/>
      <c r="Y174" s="923"/>
      <c r="Z174" s="923"/>
      <c r="AA174" s="923"/>
      <c r="AB174" s="924" t="s">
        <v>61</v>
      </c>
      <c r="AC174" s="925" t="s">
        <v>62</v>
      </c>
      <c r="AD174" s="926">
        <f t="shared" si="5"/>
        <v>1.5100000000000001E-2</v>
      </c>
      <c r="AE174" s="926">
        <f t="shared" si="4"/>
        <v>0.2228</v>
      </c>
      <c r="AF174" s="61"/>
      <c r="AG174" s="61"/>
      <c r="AH174" s="61"/>
      <c r="AI174" s="61"/>
    </row>
    <row r="175" spans="1:35" s="417" customFormat="1" ht="15" customHeight="1" x14ac:dyDescent="0.2">
      <c r="A175" s="1459"/>
      <c r="B175" s="1460"/>
      <c r="C175" s="1460"/>
      <c r="D175" s="1460"/>
      <c r="E175" s="1460"/>
      <c r="F175" s="1460"/>
      <c r="G175" s="1460"/>
      <c r="H175" s="1460"/>
      <c r="I175" s="1460"/>
      <c r="J175" s="1460"/>
      <c r="K175" s="1460"/>
      <c r="L175" s="1460"/>
      <c r="M175" s="1460"/>
      <c r="N175" s="1460"/>
      <c r="O175" s="1460"/>
      <c r="P175" s="1460"/>
      <c r="Q175" s="1460"/>
      <c r="R175" s="1461"/>
      <c r="S175" s="923"/>
      <c r="T175" s="923"/>
      <c r="U175" s="923"/>
      <c r="V175" s="923"/>
      <c r="W175" s="923"/>
      <c r="X175" s="923"/>
      <c r="Y175" s="923"/>
      <c r="Z175" s="923"/>
      <c r="AA175" s="923"/>
      <c r="AB175" s="924" t="s">
        <v>65</v>
      </c>
      <c r="AC175" s="925" t="s">
        <v>66</v>
      </c>
      <c r="AD175" s="926">
        <f t="shared" si="5"/>
        <v>7.6499999999999999E-2</v>
      </c>
      <c r="AE175" s="926">
        <f t="shared" si="4"/>
        <v>1.1721999999999999</v>
      </c>
      <c r="AF175" s="61">
        <f>SUM(AD170:AD175)</f>
        <v>0.2162</v>
      </c>
      <c r="AG175" s="61">
        <f>SUM(AE170:AE175)</f>
        <v>3.4081999999999999</v>
      </c>
      <c r="AH175" s="61"/>
      <c r="AI175" s="61"/>
    </row>
    <row r="176" spans="1:35" s="417" customFormat="1" ht="15" customHeight="1" x14ac:dyDescent="0.2">
      <c r="A176" s="1516" t="s">
        <v>1280</v>
      </c>
      <c r="B176" s="1517"/>
      <c r="C176" s="1301"/>
      <c r="D176" s="1301"/>
      <c r="E176" s="1301"/>
      <c r="F176" s="1301"/>
      <c r="G176" s="1301"/>
      <c r="H176" s="1301"/>
      <c r="I176" s="1301"/>
      <c r="J176" s="1301"/>
      <c r="K176" s="1301"/>
      <c r="L176" s="1301"/>
      <c r="M176" s="1301"/>
      <c r="N176" s="1301"/>
      <c r="O176" s="1301"/>
      <c r="P176" s="1301"/>
      <c r="Q176" s="1301"/>
      <c r="R176" s="1301"/>
      <c r="S176" s="1301"/>
      <c r="T176" s="1301"/>
      <c r="U176" s="1301"/>
      <c r="V176" s="1301"/>
      <c r="W176" s="1301"/>
      <c r="X176" s="1301"/>
      <c r="Y176" s="1301"/>
      <c r="Z176" s="1301"/>
      <c r="AA176" s="1301"/>
      <c r="AB176" s="1301"/>
      <c r="AC176" s="1301"/>
      <c r="AD176" s="1301"/>
      <c r="AE176" s="1302"/>
      <c r="AF176" s="61">
        <f>SUM(AF137:AF175)</f>
        <v>0.64860000000000007</v>
      </c>
      <c r="AG176" s="61">
        <f>SUM(AG137:AG175)</f>
        <v>6.0937000000000001</v>
      </c>
      <c r="AH176" s="61"/>
      <c r="AI176" s="61" t="s">
        <v>1281</v>
      </c>
    </row>
    <row r="177" spans="1:35" s="417" customFormat="1" ht="15" customHeight="1" x14ac:dyDescent="0.2">
      <c r="A177" s="1284" t="s">
        <v>493</v>
      </c>
      <c r="B177" s="1437"/>
      <c r="C177" s="1438"/>
      <c r="D177" s="1438"/>
      <c r="E177" s="1438"/>
      <c r="F177" s="1438"/>
      <c r="G177" s="1438"/>
      <c r="H177" s="1438"/>
      <c r="I177" s="1438"/>
      <c r="J177" s="1438"/>
      <c r="K177" s="1438"/>
      <c r="L177" s="1438"/>
      <c r="M177" s="1438"/>
      <c r="N177" s="1438"/>
      <c r="O177" s="1438"/>
      <c r="P177" s="1438"/>
      <c r="Q177" s="1438"/>
      <c r="R177" s="1438"/>
      <c r="S177" s="1438"/>
      <c r="T177" s="1438"/>
      <c r="U177" s="1438"/>
      <c r="V177" s="1438"/>
      <c r="W177" s="1438"/>
      <c r="X177" s="1438"/>
      <c r="Y177" s="1438"/>
      <c r="Z177" s="1438"/>
      <c r="AA177" s="1438"/>
      <c r="AB177" s="1438"/>
      <c r="AC177" s="1438"/>
      <c r="AD177" s="1438"/>
      <c r="AE177" s="1439"/>
      <c r="AF177" s="61"/>
      <c r="AG177" s="61"/>
      <c r="AH177" s="61"/>
      <c r="AI177" s="61"/>
    </row>
    <row r="178" spans="1:35" s="417" customFormat="1" ht="15" customHeight="1" x14ac:dyDescent="0.2">
      <c r="A178" s="560" t="s">
        <v>467</v>
      </c>
      <c r="B178" s="486" t="s">
        <v>343</v>
      </c>
      <c r="C178" s="413">
        <v>4</v>
      </c>
      <c r="D178" s="381">
        <v>1</v>
      </c>
      <c r="E178" s="381">
        <v>1</v>
      </c>
      <c r="F178" s="381">
        <v>6</v>
      </c>
      <c r="G178" s="381">
        <v>60</v>
      </c>
      <c r="H178" s="381">
        <f>(8-1-0.75*2)*60*E178-J178-8*0.12*60</f>
        <v>57.900000000000006</v>
      </c>
      <c r="I178" s="381">
        <v>14</v>
      </c>
      <c r="J178" s="381">
        <f>(8-1-0.75*2)*0.65*60*E178</f>
        <v>214.5</v>
      </c>
      <c r="K178" s="381">
        <v>2.4700000000000002</v>
      </c>
      <c r="L178" s="381">
        <v>2.4700000000000002</v>
      </c>
      <c r="M178" s="381">
        <v>10</v>
      </c>
      <c r="N178" s="381">
        <f>D178/E178</f>
        <v>1</v>
      </c>
      <c r="O178" s="485">
        <v>0</v>
      </c>
      <c r="P178" s="485">
        <v>30</v>
      </c>
      <c r="Q178" s="483">
        <v>60</v>
      </c>
      <c r="R178" s="381">
        <v>0.48</v>
      </c>
      <c r="S178" s="208">
        <f>ROUND((K178*H178+1.3*K178*J178+R178*G178),4)</f>
        <v>860.57249999999999</v>
      </c>
      <c r="T178" s="208">
        <f>ROUND((L178*H178+1.3*L178*J178+R178*G178),4)</f>
        <v>860.57249999999999</v>
      </c>
      <c r="U178" s="208">
        <f>ROUND((L178*H178+1.3*L178*J178+R178*G178),4)</f>
        <v>860.57249999999999</v>
      </c>
      <c r="V178" s="208">
        <f>ROUND((K178*I178+1.3*K178*M178+R178*F178),4)</f>
        <v>69.569999999999993</v>
      </c>
      <c r="W178" s="208">
        <f>ROUND((L178*I178+1.3*L178*M178+R178*F178),4)</f>
        <v>69.569999999999993</v>
      </c>
      <c r="X178" s="208">
        <f>ROUND((L178*I178+1.3*L178*M178+R178*F178),4)</f>
        <v>69.569999999999993</v>
      </c>
      <c r="Y178" s="404">
        <f>ROUND((O178*S178*E178*N178/1000000),4)</f>
        <v>0</v>
      </c>
      <c r="Z178" s="404">
        <f>ROUND((P178*T178*E178*N178/1000000),4)</f>
        <v>2.58E-2</v>
      </c>
      <c r="AA178" s="404">
        <f>ROUND((Q178*U178*E178*N178/1000000),4)</f>
        <v>5.16E-2</v>
      </c>
      <c r="AB178" s="937" t="s">
        <v>48</v>
      </c>
      <c r="AC178" s="938" t="s">
        <v>49</v>
      </c>
      <c r="AD178" s="939">
        <f>ROUND((((W178*D178)/1800)*0.8),4)</f>
        <v>3.09E-2</v>
      </c>
      <c r="AE178" s="939">
        <f>ROUND(((Y178+Z178+AA178)*0.8),4)</f>
        <v>6.1899999999999997E-2</v>
      </c>
      <c r="AF178" s="61"/>
      <c r="AG178" s="61"/>
      <c r="AH178" s="61"/>
      <c r="AI178" s="61"/>
    </row>
    <row r="179" spans="1:35" s="417" customFormat="1" ht="15" customHeight="1" x14ac:dyDescent="0.2">
      <c r="A179" s="561" t="s">
        <v>492</v>
      </c>
      <c r="B179" s="487" t="s">
        <v>359</v>
      </c>
      <c r="C179" s="414"/>
      <c r="D179" s="400"/>
      <c r="E179" s="400"/>
      <c r="F179" s="400"/>
      <c r="G179" s="400"/>
      <c r="H179" s="400"/>
      <c r="I179" s="400"/>
      <c r="J179" s="400"/>
      <c r="K179" s="400"/>
      <c r="L179" s="400"/>
      <c r="M179" s="400"/>
      <c r="N179" s="400"/>
      <c r="O179" s="400"/>
      <c r="P179" s="400"/>
      <c r="Q179" s="400"/>
      <c r="R179" s="488"/>
      <c r="S179" s="407"/>
      <c r="T179" s="407"/>
      <c r="U179" s="407"/>
      <c r="V179" s="407"/>
      <c r="W179" s="407"/>
      <c r="X179" s="407"/>
      <c r="Y179" s="407"/>
      <c r="Z179" s="407"/>
      <c r="AA179" s="407"/>
      <c r="AB179" s="937" t="s">
        <v>51</v>
      </c>
      <c r="AC179" s="938" t="s">
        <v>52</v>
      </c>
      <c r="AD179" s="939">
        <f>ROUND((((W178*D178)/1800)*0.13),4)</f>
        <v>5.0000000000000001E-3</v>
      </c>
      <c r="AE179" s="939">
        <f>ROUND(((Y178+Z178+AA178)*0.13),4)</f>
        <v>1.01E-2</v>
      </c>
      <c r="AF179" s="61"/>
      <c r="AG179" s="61"/>
      <c r="AH179" s="61"/>
      <c r="AI179" s="61"/>
    </row>
    <row r="180" spans="1:35" s="417" customFormat="1" ht="15" customHeight="1" x14ac:dyDescent="0.2">
      <c r="A180" s="562"/>
      <c r="B180" s="414" t="s">
        <v>360</v>
      </c>
      <c r="C180" s="415"/>
      <c r="D180" s="400"/>
      <c r="E180" s="400"/>
      <c r="F180" s="400"/>
      <c r="G180" s="400"/>
      <c r="H180" s="400"/>
      <c r="I180" s="400"/>
      <c r="J180" s="400"/>
      <c r="K180" s="400">
        <v>0.19</v>
      </c>
      <c r="L180" s="400">
        <v>0.23</v>
      </c>
      <c r="M180" s="400"/>
      <c r="N180" s="400"/>
      <c r="O180" s="400"/>
      <c r="P180" s="400"/>
      <c r="Q180" s="400"/>
      <c r="R180" s="482">
        <v>9.7000000000000003E-2</v>
      </c>
      <c r="S180" s="208">
        <f>ROUND((K180*H178+1.3*K180*J178+R180*G178),4)</f>
        <v>69.802499999999995</v>
      </c>
      <c r="T180" s="208">
        <f>ROUND((L180*0.9*H178+1.3*L180*0.9*J178+R180*G178),4)</f>
        <v>75.527299999999997</v>
      </c>
      <c r="U180" s="208">
        <f>ROUND((L180*H178+1.3*L180*J178+R180*G178),4)</f>
        <v>83.272499999999994</v>
      </c>
      <c r="V180" s="208">
        <f>ROUND((K180*I178+1.3*K180*M178+R180*F178),4)</f>
        <v>5.7119999999999997</v>
      </c>
      <c r="W180" s="208">
        <f>ROUND((L180*0.9*I178+1.3*L180*0.9*M178+R180*F178),4)</f>
        <v>6.1710000000000003</v>
      </c>
      <c r="X180" s="208">
        <f>ROUND((L180*I178+1.3*L180*M178+R180*F178),4)</f>
        <v>6.7919999999999998</v>
      </c>
      <c r="Y180" s="404">
        <f>ROUND((O178*S180*E178*N178/1000000),4)</f>
        <v>0</v>
      </c>
      <c r="Z180" s="404">
        <f>ROUND((P178*T180*E178*N178/1000000),4)</f>
        <v>2.3E-3</v>
      </c>
      <c r="AA180" s="404">
        <f>ROUND((Q178*U180*E178*N178/1000000),4)</f>
        <v>5.0000000000000001E-3</v>
      </c>
      <c r="AB180" s="937" t="s">
        <v>56</v>
      </c>
      <c r="AC180" s="938" t="s">
        <v>57</v>
      </c>
      <c r="AD180" s="939">
        <f>ROUND((((W180*D178)/1800)),4)</f>
        <v>3.3999999999999998E-3</v>
      </c>
      <c r="AE180" s="939">
        <f>ROUND(((Y180+Z180+AA180)),5)</f>
        <v>7.3000000000000001E-3</v>
      </c>
      <c r="AF180" s="61"/>
      <c r="AG180" s="61"/>
      <c r="AH180" s="61"/>
      <c r="AI180" s="61"/>
    </row>
    <row r="181" spans="1:35" s="417" customFormat="1" ht="15" customHeight="1" x14ac:dyDescent="0.2">
      <c r="A181" s="562"/>
      <c r="B181" s="414"/>
      <c r="C181" s="414"/>
      <c r="D181" s="400"/>
      <c r="E181" s="400"/>
      <c r="F181" s="400"/>
      <c r="G181" s="400"/>
      <c r="H181" s="400"/>
      <c r="I181" s="400"/>
      <c r="J181" s="400"/>
      <c r="K181" s="400">
        <v>0.43</v>
      </c>
      <c r="L181" s="400">
        <v>0.51</v>
      </c>
      <c r="M181" s="400"/>
      <c r="N181" s="400"/>
      <c r="O181" s="400"/>
      <c r="P181" s="400"/>
      <c r="Q181" s="400"/>
      <c r="R181" s="482">
        <v>0.3</v>
      </c>
      <c r="S181" s="208">
        <f>ROUND((K181*H178+1.3*K181*J178+R181*G178),4)</f>
        <v>162.80250000000001</v>
      </c>
      <c r="T181" s="208">
        <f>ROUND((L181*0.9*H178+1.3*L181*0.9*J178+R181*G178),4)</f>
        <v>172.56829999999999</v>
      </c>
      <c r="U181" s="208">
        <f>ROUND((L181*H178+1.3*L181*J178+R181*G178),4)</f>
        <v>189.74250000000001</v>
      </c>
      <c r="V181" s="208">
        <f>ROUND((K181*I178+1.3*K181*M178+R181*F178),4)</f>
        <v>13.41</v>
      </c>
      <c r="W181" s="208">
        <f>ROUND((L181*0.9*I178+1.3*L181*0.9*M178+R181*F178),4)</f>
        <v>14.193</v>
      </c>
      <c r="X181" s="208">
        <f>ROUND((L181*I178+1.3*M178+R181*F178),4)</f>
        <v>21.94</v>
      </c>
      <c r="Y181" s="404">
        <f>ROUND((O178*S181*E178*N178/1000000),4)</f>
        <v>0</v>
      </c>
      <c r="Z181" s="404">
        <f>ROUND((P178*T181*E178*N178/1000000),4)</f>
        <v>5.1999999999999998E-3</v>
      </c>
      <c r="AA181" s="404">
        <f>ROUND((Q178*U181*E178*N178/1000000),4)</f>
        <v>1.14E-2</v>
      </c>
      <c r="AB181" s="937" t="s">
        <v>177</v>
      </c>
      <c r="AC181" s="938" t="s">
        <v>178</v>
      </c>
      <c r="AD181" s="939">
        <f>ROUND((((W181*D178)/1800)),4)</f>
        <v>7.9000000000000008E-3</v>
      </c>
      <c r="AE181" s="939">
        <f>ROUND(((Y181+Z181+AA181)),4)</f>
        <v>1.66E-2</v>
      </c>
      <c r="AF181" s="61"/>
      <c r="AG181" s="61"/>
      <c r="AH181" s="61"/>
      <c r="AI181" s="61"/>
    </row>
    <row r="182" spans="1:35" s="417" customFormat="1" ht="15" customHeight="1" x14ac:dyDescent="0.2">
      <c r="A182" s="562"/>
      <c r="B182" s="414"/>
      <c r="C182" s="414"/>
      <c r="D182" s="400"/>
      <c r="E182" s="400"/>
      <c r="F182" s="400"/>
      <c r="G182" s="400"/>
      <c r="H182" s="400"/>
      <c r="I182" s="400"/>
      <c r="J182" s="400"/>
      <c r="K182" s="400">
        <v>0.27</v>
      </c>
      <c r="L182" s="400">
        <v>0.41</v>
      </c>
      <c r="M182" s="400"/>
      <c r="N182" s="400"/>
      <c r="O182" s="400"/>
      <c r="P182" s="400"/>
      <c r="Q182" s="400"/>
      <c r="R182" s="482">
        <v>0.06</v>
      </c>
      <c r="S182" s="208">
        <f>ROUND((K182*H178+1.3*K182*J178+R182*G178),4)</f>
        <v>94.522499999999994</v>
      </c>
      <c r="T182" s="208">
        <f>ROUND((L182*0.9*H178+1.3*L182*0.9*J178+R182*G178),4)</f>
        <v>127.8608</v>
      </c>
      <c r="U182" s="208">
        <f>ROUND((L182*H178+1.3*L182*J178+R182*G178),4)</f>
        <v>141.66749999999999</v>
      </c>
      <c r="V182" s="208">
        <f>ROUND((K182*I178+1.3*K182*M178+R182*F178),4)</f>
        <v>7.65</v>
      </c>
      <c r="W182" s="208">
        <f>ROUND((L182*0.9*I178+1.3*L182*0.9*M178+R182*F178),4)</f>
        <v>10.323</v>
      </c>
      <c r="X182" s="208">
        <f>ROUND((L182*I178+1.3*L182*M178+R182*F178),4)</f>
        <v>11.43</v>
      </c>
      <c r="Y182" s="404">
        <f>ROUND((O178*S182*E178*N178/1000000),4)</f>
        <v>0</v>
      </c>
      <c r="Z182" s="404">
        <f>ROUND((P178*T182*E178*N178/1000000),4)</f>
        <v>3.8E-3</v>
      </c>
      <c r="AA182" s="404">
        <f>ROUND((Q178*U182*E178*N178/1000000),4)</f>
        <v>8.5000000000000006E-3</v>
      </c>
      <c r="AB182" s="937" t="s">
        <v>61</v>
      </c>
      <c r="AC182" s="938" t="s">
        <v>62</v>
      </c>
      <c r="AD182" s="939">
        <f>ROUND((((W182*D178)/1800)),4)</f>
        <v>5.7000000000000002E-3</v>
      </c>
      <c r="AE182" s="939">
        <f>ROUND(((Y182+Z182+AA182)),4)</f>
        <v>1.23E-2</v>
      </c>
      <c r="AF182" s="61"/>
      <c r="AG182" s="61"/>
      <c r="AH182" s="61"/>
      <c r="AI182" s="61"/>
    </row>
    <row r="183" spans="1:35" s="417" customFormat="1" ht="15" customHeight="1" x14ac:dyDescent="0.2">
      <c r="A183" s="513"/>
      <c r="B183" s="416"/>
      <c r="C183" s="416"/>
      <c r="D183" s="401"/>
      <c r="E183" s="401"/>
      <c r="F183" s="401"/>
      <c r="G183" s="401"/>
      <c r="H183" s="401"/>
      <c r="I183" s="401"/>
      <c r="J183" s="401"/>
      <c r="K183" s="401">
        <v>1.29</v>
      </c>
      <c r="L183" s="401">
        <v>1.57</v>
      </c>
      <c r="M183" s="401"/>
      <c r="N183" s="401"/>
      <c r="O183" s="401"/>
      <c r="P183" s="401"/>
      <c r="Q183" s="401"/>
      <c r="R183" s="482">
        <v>2.4</v>
      </c>
      <c r="S183" s="175">
        <f>ROUND((K183*H178+1.3*K183*J178+R183*G178),4)</f>
        <v>578.40750000000003</v>
      </c>
      <c r="T183" s="175">
        <f>ROUND((L183*0.9*H178+1.3*L183*0.9*J178+R183*G178),4)</f>
        <v>619.82780000000002</v>
      </c>
      <c r="U183" s="175">
        <f>ROUND((L183*H178+1.3*L183*J178+R183*G178),4)</f>
        <v>672.69749999999999</v>
      </c>
      <c r="V183" s="175">
        <f>ROUND((K183*I178+1.3*K183*M178+R183*F178),4)</f>
        <v>49.23</v>
      </c>
      <c r="W183" s="175">
        <f>ROUND((L183*0.9*I178+1.3*L183*0.9*M178+R183*F178),4)</f>
        <v>52.551000000000002</v>
      </c>
      <c r="X183" s="175">
        <f>ROUND((L183*I178+1.3*L183*M178+R183*F178),4)</f>
        <v>56.79</v>
      </c>
      <c r="Y183" s="489">
        <f>ROUND((O178*S183*E178*N178/1000000),4)</f>
        <v>0</v>
      </c>
      <c r="Z183" s="489">
        <f>ROUND((P178*T183*E178*N178/1000000),4)</f>
        <v>1.8599999999999998E-2</v>
      </c>
      <c r="AA183" s="489">
        <f>ROUND((Q178*U183*E178*N178/1000000),4)</f>
        <v>4.0399999999999998E-2</v>
      </c>
      <c r="AB183" s="937" t="s">
        <v>65</v>
      </c>
      <c r="AC183" s="938" t="s">
        <v>66</v>
      </c>
      <c r="AD183" s="939">
        <f>ROUND((((W183*D178)/1800)),4)</f>
        <v>2.92E-2</v>
      </c>
      <c r="AE183" s="939">
        <f>ROUND(((Y183+Z183+AA183)),4)</f>
        <v>5.8999999999999997E-2</v>
      </c>
      <c r="AF183" s="61">
        <f>SUM(AD178:AD183)</f>
        <v>8.2100000000000006E-2</v>
      </c>
      <c r="AG183" s="61">
        <f>SUM(AE178:AE183)</f>
        <v>0.16720000000000002</v>
      </c>
      <c r="AH183" s="61"/>
      <c r="AI183" s="61"/>
    </row>
    <row r="184" spans="1:35" s="417" customFormat="1" ht="15" customHeight="1" x14ac:dyDescent="0.2">
      <c r="A184" s="1284" t="s">
        <v>494</v>
      </c>
      <c r="B184" s="1437"/>
      <c r="C184" s="1438"/>
      <c r="D184" s="1438"/>
      <c r="E184" s="1438"/>
      <c r="F184" s="1438"/>
      <c r="G184" s="1438"/>
      <c r="H184" s="1438"/>
      <c r="I184" s="1438"/>
      <c r="J184" s="1438"/>
      <c r="K184" s="1438"/>
      <c r="L184" s="1438"/>
      <c r="M184" s="1438"/>
      <c r="N184" s="1438"/>
      <c r="O184" s="1438"/>
      <c r="P184" s="1438"/>
      <c r="Q184" s="1438"/>
      <c r="R184" s="1438"/>
      <c r="S184" s="1438"/>
      <c r="T184" s="1438"/>
      <c r="U184" s="1438"/>
      <c r="V184" s="1438"/>
      <c r="W184" s="1438"/>
      <c r="X184" s="1438"/>
      <c r="Y184" s="1438"/>
      <c r="Z184" s="1438"/>
      <c r="AA184" s="1438"/>
      <c r="AB184" s="1438"/>
      <c r="AC184" s="1438"/>
      <c r="AD184" s="1438"/>
      <c r="AE184" s="1439"/>
      <c r="AF184" s="61"/>
      <c r="AG184" s="61"/>
      <c r="AH184" s="61"/>
      <c r="AI184" s="61"/>
    </row>
    <row r="185" spans="1:35" s="417" customFormat="1" ht="15" customHeight="1" x14ac:dyDescent="0.2">
      <c r="A185" s="560" t="s">
        <v>470</v>
      </c>
      <c r="B185" s="486" t="s">
        <v>343</v>
      </c>
      <c r="C185" s="413">
        <v>4</v>
      </c>
      <c r="D185" s="381">
        <v>1</v>
      </c>
      <c r="E185" s="381">
        <v>1</v>
      </c>
      <c r="F185" s="381">
        <v>6</v>
      </c>
      <c r="G185" s="381">
        <v>60</v>
      </c>
      <c r="H185" s="381">
        <f>(8-1-0.75*2)*60*E185-J185-8*0.12*60</f>
        <v>57.900000000000006</v>
      </c>
      <c r="I185" s="381">
        <v>14</v>
      </c>
      <c r="J185" s="381">
        <f>(8-1-0.75*2)*0.65*60*E185</f>
        <v>214.5</v>
      </c>
      <c r="K185" s="381">
        <v>2.4700000000000002</v>
      </c>
      <c r="L185" s="381">
        <v>2.4700000000000002</v>
      </c>
      <c r="M185" s="381">
        <v>10</v>
      </c>
      <c r="N185" s="381">
        <f>D185/E185</f>
        <v>1</v>
      </c>
      <c r="O185" s="485">
        <v>0</v>
      </c>
      <c r="P185" s="485">
        <v>30</v>
      </c>
      <c r="Q185" s="483">
        <v>60</v>
      </c>
      <c r="R185" s="381">
        <v>0.48</v>
      </c>
      <c r="S185" s="208">
        <f>ROUND((K185*H185+1.3*K185*J185+R185*G185),4)</f>
        <v>860.57249999999999</v>
      </c>
      <c r="T185" s="208">
        <f>ROUND((L185*H185+1.3*L185*J185+R185*G185),4)</f>
        <v>860.57249999999999</v>
      </c>
      <c r="U185" s="208">
        <f>ROUND((L185*H185+1.3*L185*J185+R185*G185),4)</f>
        <v>860.57249999999999</v>
      </c>
      <c r="V185" s="208">
        <f>ROUND((K185*I185+1.3*K185*M185+R185*F185),4)</f>
        <v>69.569999999999993</v>
      </c>
      <c r="W185" s="208">
        <f>ROUND((L185*I185+1.3*L185*M185+R185*F185),4)</f>
        <v>69.569999999999993</v>
      </c>
      <c r="X185" s="208">
        <f>ROUND((L185*I185+1.3*L185*M185+R185*F185),4)</f>
        <v>69.569999999999993</v>
      </c>
      <c r="Y185" s="404">
        <f>ROUND((O185*S185*E185*N185/1000000),4)</f>
        <v>0</v>
      </c>
      <c r="Z185" s="404">
        <f>ROUND((P185*T185*E185*N185/1000000),4)</f>
        <v>2.58E-2</v>
      </c>
      <c r="AA185" s="404">
        <f>ROUND((Q185*U185*E185*N185/1000000),4)</f>
        <v>5.16E-2</v>
      </c>
      <c r="AB185" s="937" t="s">
        <v>48</v>
      </c>
      <c r="AC185" s="938" t="s">
        <v>49</v>
      </c>
      <c r="AD185" s="939">
        <f>ROUND((((W185*D185)/1800)*0.8),4)</f>
        <v>3.09E-2</v>
      </c>
      <c r="AE185" s="939">
        <f>ROUND(((Y185+Z185+AA185)*0.8),4)</f>
        <v>6.1899999999999997E-2</v>
      </c>
      <c r="AF185" s="61"/>
      <c r="AG185" s="61"/>
      <c r="AH185" s="61"/>
      <c r="AI185" s="61"/>
    </row>
    <row r="186" spans="1:35" s="417" customFormat="1" ht="15" customHeight="1" x14ac:dyDescent="0.2">
      <c r="A186" s="561" t="s">
        <v>492</v>
      </c>
      <c r="B186" s="487" t="s">
        <v>359</v>
      </c>
      <c r="C186" s="414"/>
      <c r="D186" s="400"/>
      <c r="E186" s="400"/>
      <c r="F186" s="400"/>
      <c r="G186" s="400"/>
      <c r="H186" s="400"/>
      <c r="I186" s="400"/>
      <c r="J186" s="400"/>
      <c r="K186" s="400"/>
      <c r="L186" s="400"/>
      <c r="M186" s="400"/>
      <c r="N186" s="400"/>
      <c r="O186" s="400"/>
      <c r="P186" s="400"/>
      <c r="Q186" s="400"/>
      <c r="R186" s="488"/>
      <c r="S186" s="407"/>
      <c r="T186" s="407"/>
      <c r="U186" s="407"/>
      <c r="V186" s="407"/>
      <c r="W186" s="407"/>
      <c r="X186" s="407"/>
      <c r="Y186" s="407"/>
      <c r="Z186" s="407"/>
      <c r="AA186" s="407"/>
      <c r="AB186" s="937" t="s">
        <v>51</v>
      </c>
      <c r="AC186" s="938" t="s">
        <v>52</v>
      </c>
      <c r="AD186" s="939">
        <f>ROUND((((W185*D185)/1800)*0.13),4)</f>
        <v>5.0000000000000001E-3</v>
      </c>
      <c r="AE186" s="939">
        <f>ROUND(((Y185+Z185+AA185)*0.13),4)</f>
        <v>1.01E-2</v>
      </c>
      <c r="AF186" s="61"/>
      <c r="AG186" s="61"/>
      <c r="AH186" s="61"/>
      <c r="AI186" s="61"/>
    </row>
    <row r="187" spans="1:35" s="417" customFormat="1" ht="15" customHeight="1" x14ac:dyDescent="0.2">
      <c r="A187" s="562"/>
      <c r="B187" s="414" t="s">
        <v>360</v>
      </c>
      <c r="C187" s="415"/>
      <c r="D187" s="400"/>
      <c r="E187" s="400"/>
      <c r="F187" s="400"/>
      <c r="G187" s="400"/>
      <c r="H187" s="400"/>
      <c r="I187" s="400"/>
      <c r="J187" s="400"/>
      <c r="K187" s="400">
        <v>0.19</v>
      </c>
      <c r="L187" s="400">
        <v>0.23</v>
      </c>
      <c r="M187" s="400"/>
      <c r="N187" s="400"/>
      <c r="O187" s="400"/>
      <c r="P187" s="400"/>
      <c r="Q187" s="400"/>
      <c r="R187" s="482">
        <v>9.7000000000000003E-2</v>
      </c>
      <c r="S187" s="208">
        <f>ROUND((K187*H185+1.3*K187*J185+R187*G185),4)</f>
        <v>69.802499999999995</v>
      </c>
      <c r="T187" s="208">
        <f>ROUND((L187*0.9*H185+1.3*L187*0.9*J185+R187*G185),4)</f>
        <v>75.527299999999997</v>
      </c>
      <c r="U187" s="208">
        <f>ROUND((L187*H185+1.3*L187*J185+R187*G185),4)</f>
        <v>83.272499999999994</v>
      </c>
      <c r="V187" s="208">
        <f>ROUND((K187*I185+1.3*K187*M185+R187*F185),4)</f>
        <v>5.7119999999999997</v>
      </c>
      <c r="W187" s="208">
        <f>ROUND((L187*0.9*I185+1.3*L187*0.9*M185+R187*F185),4)</f>
        <v>6.1710000000000003</v>
      </c>
      <c r="X187" s="208">
        <f>ROUND((L187*I185+1.3*L187*M185+R187*F185),4)</f>
        <v>6.7919999999999998</v>
      </c>
      <c r="Y187" s="404">
        <f>ROUND((O185*S187*E185*N185/1000000),4)</f>
        <v>0</v>
      </c>
      <c r="Z187" s="404">
        <f>ROUND((P185*T187*E185*N185/1000000),4)</f>
        <v>2.3E-3</v>
      </c>
      <c r="AA187" s="404">
        <f>ROUND((Q185*U187*E185*N185/1000000),4)</f>
        <v>5.0000000000000001E-3</v>
      </c>
      <c r="AB187" s="937" t="s">
        <v>56</v>
      </c>
      <c r="AC187" s="938" t="s">
        <v>57</v>
      </c>
      <c r="AD187" s="939">
        <f>ROUND((((W187*D185)/1800)),4)</f>
        <v>3.3999999999999998E-3</v>
      </c>
      <c r="AE187" s="939">
        <f>ROUND(((Y187+Z187+AA187)),5)</f>
        <v>7.3000000000000001E-3</v>
      </c>
      <c r="AF187" s="61"/>
      <c r="AG187" s="61"/>
      <c r="AH187" s="61"/>
      <c r="AI187" s="61"/>
    </row>
    <row r="188" spans="1:35" s="417" customFormat="1" ht="15" customHeight="1" x14ac:dyDescent="0.2">
      <c r="A188" s="562"/>
      <c r="B188" s="414"/>
      <c r="C188" s="414"/>
      <c r="D188" s="400"/>
      <c r="E188" s="400"/>
      <c r="F188" s="400"/>
      <c r="G188" s="400"/>
      <c r="H188" s="400"/>
      <c r="I188" s="400"/>
      <c r="J188" s="400"/>
      <c r="K188" s="400">
        <v>0.43</v>
      </c>
      <c r="L188" s="400">
        <v>0.51</v>
      </c>
      <c r="M188" s="400"/>
      <c r="N188" s="400"/>
      <c r="O188" s="400"/>
      <c r="P188" s="400"/>
      <c r="Q188" s="400"/>
      <c r="R188" s="482">
        <v>0.3</v>
      </c>
      <c r="S188" s="208">
        <f>ROUND((K188*H185+1.3*K188*J185+R188*G185),4)</f>
        <v>162.80250000000001</v>
      </c>
      <c r="T188" s="208">
        <f>ROUND((L188*0.9*H185+1.3*L188*0.9*J185+R188*G185),4)</f>
        <v>172.56829999999999</v>
      </c>
      <c r="U188" s="208">
        <f>ROUND((L188*H185+1.3*L188*J185+R188*G185),4)</f>
        <v>189.74250000000001</v>
      </c>
      <c r="V188" s="208">
        <f>ROUND((K188*I185+1.3*K188*M185+R188*F185),4)</f>
        <v>13.41</v>
      </c>
      <c r="W188" s="208">
        <f>ROUND((L188*0.9*I185+1.3*L188*0.9*M185+R188*F185),4)</f>
        <v>14.193</v>
      </c>
      <c r="X188" s="208">
        <f>ROUND((L188*I185+1.3*M185+R188*F185),4)</f>
        <v>21.94</v>
      </c>
      <c r="Y188" s="404">
        <f>ROUND((O185*S188*E185*N185/1000000),4)</f>
        <v>0</v>
      </c>
      <c r="Z188" s="404">
        <f>ROUND((P185*T188*E185*N185/1000000),4)</f>
        <v>5.1999999999999998E-3</v>
      </c>
      <c r="AA188" s="404">
        <f>ROUND((Q185*U188*E185*N185/1000000),4)</f>
        <v>1.14E-2</v>
      </c>
      <c r="AB188" s="937" t="s">
        <v>177</v>
      </c>
      <c r="AC188" s="938" t="s">
        <v>178</v>
      </c>
      <c r="AD188" s="939">
        <f>ROUND((((W188*D185)/1800)),4)</f>
        <v>7.9000000000000008E-3</v>
      </c>
      <c r="AE188" s="939">
        <f>ROUND(((Y188+Z188+AA188)),4)</f>
        <v>1.66E-2</v>
      </c>
      <c r="AF188" s="61"/>
      <c r="AG188" s="61"/>
      <c r="AH188" s="61"/>
      <c r="AI188" s="61"/>
    </row>
    <row r="189" spans="1:35" s="417" customFormat="1" ht="15" customHeight="1" x14ac:dyDescent="0.2">
      <c r="A189" s="562"/>
      <c r="B189" s="414"/>
      <c r="C189" s="414"/>
      <c r="D189" s="400"/>
      <c r="E189" s="400"/>
      <c r="F189" s="400"/>
      <c r="G189" s="400"/>
      <c r="H189" s="400"/>
      <c r="I189" s="400"/>
      <c r="J189" s="400"/>
      <c r="K189" s="400">
        <v>0.27</v>
      </c>
      <c r="L189" s="400">
        <v>0.41</v>
      </c>
      <c r="M189" s="400"/>
      <c r="N189" s="400"/>
      <c r="O189" s="400"/>
      <c r="P189" s="400"/>
      <c r="Q189" s="400"/>
      <c r="R189" s="482">
        <v>0.06</v>
      </c>
      <c r="S189" s="208">
        <f>ROUND((K189*H185+1.3*K189*J185+R189*G185),4)</f>
        <v>94.522499999999994</v>
      </c>
      <c r="T189" s="208">
        <f>ROUND((L189*0.9*H185+1.3*L189*0.9*J185+R189*G185),4)</f>
        <v>127.8608</v>
      </c>
      <c r="U189" s="208">
        <f>ROUND((L189*H185+1.3*L189*J185+R189*G185),4)</f>
        <v>141.66749999999999</v>
      </c>
      <c r="V189" s="208">
        <f>ROUND((K189*I185+1.3*K189*M185+R189*F185),4)</f>
        <v>7.65</v>
      </c>
      <c r="W189" s="208">
        <f>ROUND((L189*0.9*I185+1.3*L189*0.9*M185+R189*F185),4)</f>
        <v>10.323</v>
      </c>
      <c r="X189" s="208">
        <f>ROUND((L189*I185+1.3*L189*M185+R189*F185),4)</f>
        <v>11.43</v>
      </c>
      <c r="Y189" s="404">
        <f>ROUND((O185*S189*E185*N185/1000000),4)</f>
        <v>0</v>
      </c>
      <c r="Z189" s="404">
        <f>ROUND((P185*T189*E185*N185/1000000),4)</f>
        <v>3.8E-3</v>
      </c>
      <c r="AA189" s="404">
        <f>ROUND((Q185*U189*E185*N185/1000000),4)</f>
        <v>8.5000000000000006E-3</v>
      </c>
      <c r="AB189" s="937" t="s">
        <v>61</v>
      </c>
      <c r="AC189" s="938" t="s">
        <v>62</v>
      </c>
      <c r="AD189" s="939">
        <f>ROUND((((W189*D185)/1800)),4)</f>
        <v>5.7000000000000002E-3</v>
      </c>
      <c r="AE189" s="939">
        <f>ROUND(((Y189+Z189+AA189)),4)</f>
        <v>1.23E-2</v>
      </c>
      <c r="AF189" s="61"/>
      <c r="AG189" s="61"/>
      <c r="AH189" s="61"/>
      <c r="AI189" s="61"/>
    </row>
    <row r="190" spans="1:35" s="417" customFormat="1" ht="15" customHeight="1" x14ac:dyDescent="0.2">
      <c r="A190" s="513"/>
      <c r="B190" s="416"/>
      <c r="C190" s="416"/>
      <c r="D190" s="401"/>
      <c r="E190" s="401"/>
      <c r="F190" s="401"/>
      <c r="G190" s="401"/>
      <c r="H190" s="401"/>
      <c r="I190" s="401"/>
      <c r="J190" s="401"/>
      <c r="K190" s="401">
        <v>1.29</v>
      </c>
      <c r="L190" s="401">
        <v>1.57</v>
      </c>
      <c r="M190" s="401"/>
      <c r="N190" s="401"/>
      <c r="O190" s="401"/>
      <c r="P190" s="401"/>
      <c r="Q190" s="401"/>
      <c r="R190" s="482">
        <v>2.4</v>
      </c>
      <c r="S190" s="175">
        <f>ROUND((K190*H185+1.3*K190*J185+R190*G185),4)</f>
        <v>578.40750000000003</v>
      </c>
      <c r="T190" s="175">
        <f>ROUND((L190*0.9*H185+1.3*L190*0.9*J185+R190*G185),4)</f>
        <v>619.82780000000002</v>
      </c>
      <c r="U190" s="175">
        <f>ROUND((L190*H185+1.3*L190*J185+R190*G185),4)</f>
        <v>672.69749999999999</v>
      </c>
      <c r="V190" s="175">
        <f>ROUND((K190*I185+1.3*K190*M185+R190*F185),4)</f>
        <v>49.23</v>
      </c>
      <c r="W190" s="175">
        <f>ROUND((L190*0.9*I185+1.3*L190*0.9*M185+R190*F185),4)</f>
        <v>52.551000000000002</v>
      </c>
      <c r="X190" s="175">
        <f>ROUND((L190*I185+1.3*L190*M185+R190*F185),4)</f>
        <v>56.79</v>
      </c>
      <c r="Y190" s="489">
        <f>ROUND((O185*S190*E185*N185/1000000),4)</f>
        <v>0</v>
      </c>
      <c r="Z190" s="489">
        <f>ROUND((P185*T190*E185*N185/1000000),4)</f>
        <v>1.8599999999999998E-2</v>
      </c>
      <c r="AA190" s="489">
        <f>ROUND((Q185*U190*E185*N185/1000000),4)</f>
        <v>4.0399999999999998E-2</v>
      </c>
      <c r="AB190" s="937" t="s">
        <v>65</v>
      </c>
      <c r="AC190" s="938" t="s">
        <v>66</v>
      </c>
      <c r="AD190" s="939">
        <f>ROUND((((W190*D185)/1800)),4)</f>
        <v>2.92E-2</v>
      </c>
      <c r="AE190" s="939">
        <f>ROUND(((Y190+Z190+AA190)),4)</f>
        <v>5.8999999999999997E-2</v>
      </c>
      <c r="AF190" s="61">
        <f>SUM(AD185:AD190)</f>
        <v>8.2100000000000006E-2</v>
      </c>
      <c r="AG190" s="61">
        <f>SUM(AE185:AE190)</f>
        <v>0.16720000000000002</v>
      </c>
      <c r="AH190" s="61"/>
      <c r="AI190" s="61"/>
    </row>
    <row r="191" spans="1:35" s="417" customFormat="1" ht="15" customHeight="1" x14ac:dyDescent="0.2">
      <c r="A191" s="1284" t="s">
        <v>495</v>
      </c>
      <c r="B191" s="1437"/>
      <c r="C191" s="1438"/>
      <c r="D191" s="1438"/>
      <c r="E191" s="1438"/>
      <c r="F191" s="1438"/>
      <c r="G191" s="1438"/>
      <c r="H191" s="1438"/>
      <c r="I191" s="1438"/>
      <c r="J191" s="1438"/>
      <c r="K191" s="1438"/>
      <c r="L191" s="1438"/>
      <c r="M191" s="1438"/>
      <c r="N191" s="1438"/>
      <c r="O191" s="1438"/>
      <c r="P191" s="1438"/>
      <c r="Q191" s="1438"/>
      <c r="R191" s="1438"/>
      <c r="S191" s="1438"/>
      <c r="T191" s="1438"/>
      <c r="U191" s="1438"/>
      <c r="V191" s="1438"/>
      <c r="W191" s="1438"/>
      <c r="X191" s="1438"/>
      <c r="Y191" s="1438"/>
      <c r="Z191" s="1438"/>
      <c r="AA191" s="1438"/>
      <c r="AB191" s="1438"/>
      <c r="AC191" s="1438"/>
      <c r="AD191" s="1438"/>
      <c r="AE191" s="1439"/>
      <c r="AF191" s="61"/>
      <c r="AG191" s="61"/>
      <c r="AH191" s="61"/>
      <c r="AI191" s="61"/>
    </row>
    <row r="192" spans="1:35" s="417" customFormat="1" ht="15" customHeight="1" x14ac:dyDescent="0.2">
      <c r="A192" s="560" t="s">
        <v>472</v>
      </c>
      <c r="B192" s="486" t="s">
        <v>343</v>
      </c>
      <c r="C192" s="413">
        <v>4</v>
      </c>
      <c r="D192" s="381">
        <v>1</v>
      </c>
      <c r="E192" s="381">
        <v>1</v>
      </c>
      <c r="F192" s="381">
        <v>6</v>
      </c>
      <c r="G192" s="381">
        <v>60</v>
      </c>
      <c r="H192" s="381">
        <f>(8-1-0.75*2)*60*E192-J192-8*0.12*60</f>
        <v>57.900000000000006</v>
      </c>
      <c r="I192" s="381">
        <v>14</v>
      </c>
      <c r="J192" s="381">
        <f>(8-1-0.75*2)*0.65*60*E192</f>
        <v>214.5</v>
      </c>
      <c r="K192" s="381">
        <v>2.4700000000000002</v>
      </c>
      <c r="L192" s="381">
        <v>2.4700000000000002</v>
      </c>
      <c r="M192" s="381">
        <v>10</v>
      </c>
      <c r="N192" s="381">
        <f>D192/E192</f>
        <v>1</v>
      </c>
      <c r="O192" s="485">
        <v>0</v>
      </c>
      <c r="P192" s="485">
        <v>30</v>
      </c>
      <c r="Q192" s="483">
        <v>60</v>
      </c>
      <c r="R192" s="381">
        <v>0.48</v>
      </c>
      <c r="S192" s="208">
        <f>ROUND((K192*H192+1.3*K192*J192+R192*G192),4)</f>
        <v>860.57249999999999</v>
      </c>
      <c r="T192" s="208">
        <f>ROUND((L192*H192+1.3*L192*J192+R192*G192),4)</f>
        <v>860.57249999999999</v>
      </c>
      <c r="U192" s="208">
        <f>ROUND((L192*H192+1.3*L192*J192+R192*G192),4)</f>
        <v>860.57249999999999</v>
      </c>
      <c r="V192" s="208">
        <f>ROUND((K192*I192+1.3*K192*M192+R192*F192),4)</f>
        <v>69.569999999999993</v>
      </c>
      <c r="W192" s="208">
        <f>ROUND((L192*I192+1.3*L192*M192+R192*F192),4)</f>
        <v>69.569999999999993</v>
      </c>
      <c r="X192" s="208">
        <f>ROUND((L192*I192+1.3*L192*M192+R192*F192),4)</f>
        <v>69.569999999999993</v>
      </c>
      <c r="Y192" s="404">
        <f>ROUND((O192*S192*E192*N192/1000000),4)</f>
        <v>0</v>
      </c>
      <c r="Z192" s="404">
        <f>ROUND((P192*T192*E192*N192/1000000),4)</f>
        <v>2.58E-2</v>
      </c>
      <c r="AA192" s="404">
        <f>ROUND((Q192*U192*E192*N192/1000000),4)</f>
        <v>5.16E-2</v>
      </c>
      <c r="AB192" s="937" t="s">
        <v>48</v>
      </c>
      <c r="AC192" s="938" t="s">
        <v>49</v>
      </c>
      <c r="AD192" s="939">
        <f>ROUND((((W192*D192)/1800)*0.8),4)</f>
        <v>3.09E-2</v>
      </c>
      <c r="AE192" s="939">
        <f>ROUND(((Y192+Z192+AA192)*0.8),4)</f>
        <v>6.1899999999999997E-2</v>
      </c>
      <c r="AF192" s="61"/>
      <c r="AG192" s="61"/>
      <c r="AH192" s="61"/>
      <c r="AI192" s="61"/>
    </row>
    <row r="193" spans="1:37" s="417" customFormat="1" ht="15" customHeight="1" x14ac:dyDescent="0.2">
      <c r="A193" s="561" t="s">
        <v>492</v>
      </c>
      <c r="B193" s="487" t="s">
        <v>359</v>
      </c>
      <c r="C193" s="414"/>
      <c r="D193" s="400"/>
      <c r="E193" s="400"/>
      <c r="F193" s="400"/>
      <c r="G193" s="400"/>
      <c r="H193" s="400"/>
      <c r="I193" s="400"/>
      <c r="J193" s="400"/>
      <c r="K193" s="400"/>
      <c r="L193" s="400"/>
      <c r="M193" s="400"/>
      <c r="N193" s="400"/>
      <c r="O193" s="400"/>
      <c r="P193" s="400"/>
      <c r="Q193" s="400"/>
      <c r="R193" s="488"/>
      <c r="S193" s="407"/>
      <c r="T193" s="407"/>
      <c r="U193" s="407"/>
      <c r="V193" s="407"/>
      <c r="W193" s="407"/>
      <c r="X193" s="407"/>
      <c r="Y193" s="407"/>
      <c r="Z193" s="407"/>
      <c r="AA193" s="407"/>
      <c r="AB193" s="937" t="s">
        <v>51</v>
      </c>
      <c r="AC193" s="938" t="s">
        <v>52</v>
      </c>
      <c r="AD193" s="939">
        <f>ROUND((((W192*D192)/1800)*0.13),4)</f>
        <v>5.0000000000000001E-3</v>
      </c>
      <c r="AE193" s="939">
        <f>ROUND(((Y192+Z192+AA192)*0.13),4)</f>
        <v>1.01E-2</v>
      </c>
      <c r="AF193" s="61"/>
      <c r="AG193" s="61"/>
      <c r="AH193" s="61"/>
      <c r="AI193" s="61"/>
    </row>
    <row r="194" spans="1:37" s="417" customFormat="1" ht="15" customHeight="1" x14ac:dyDescent="0.2">
      <c r="A194" s="562"/>
      <c r="B194" s="414" t="s">
        <v>360</v>
      </c>
      <c r="C194" s="415"/>
      <c r="D194" s="400"/>
      <c r="E194" s="400"/>
      <c r="F194" s="400"/>
      <c r="G194" s="400"/>
      <c r="H194" s="400"/>
      <c r="I194" s="400"/>
      <c r="J194" s="400"/>
      <c r="K194" s="400">
        <v>0.19</v>
      </c>
      <c r="L194" s="400">
        <v>0.23</v>
      </c>
      <c r="M194" s="400"/>
      <c r="N194" s="400"/>
      <c r="O194" s="400"/>
      <c r="P194" s="400"/>
      <c r="Q194" s="400"/>
      <c r="R194" s="482">
        <v>9.7000000000000003E-2</v>
      </c>
      <c r="S194" s="208">
        <f>ROUND((K194*H192+1.3*K194*J192+R194*G192),4)</f>
        <v>69.802499999999995</v>
      </c>
      <c r="T194" s="208">
        <f>ROUND((L194*0.9*H192+1.3*L194*0.9*J192+R194*G192),4)</f>
        <v>75.527299999999997</v>
      </c>
      <c r="U194" s="208">
        <f>ROUND((L194*H192+1.3*L194*J192+R194*G192),4)</f>
        <v>83.272499999999994</v>
      </c>
      <c r="V194" s="208">
        <f>ROUND((K194*I192+1.3*K194*M192+R194*F192),4)</f>
        <v>5.7119999999999997</v>
      </c>
      <c r="W194" s="208">
        <f>ROUND((L194*0.9*I192+1.3*L194*0.9*M192+R194*F192),4)</f>
        <v>6.1710000000000003</v>
      </c>
      <c r="X194" s="208">
        <f>ROUND((L194*I192+1.3*L194*M192+R194*F192),4)</f>
        <v>6.7919999999999998</v>
      </c>
      <c r="Y194" s="404">
        <f>ROUND((O192*S194*E192*N192/1000000),4)</f>
        <v>0</v>
      </c>
      <c r="Z194" s="404">
        <f>ROUND((P192*T194*E192*N192/1000000),4)</f>
        <v>2.3E-3</v>
      </c>
      <c r="AA194" s="404">
        <f>ROUND((Q192*U194*E192*N192/1000000),4)</f>
        <v>5.0000000000000001E-3</v>
      </c>
      <c r="AB194" s="937" t="s">
        <v>56</v>
      </c>
      <c r="AC194" s="938" t="s">
        <v>57</v>
      </c>
      <c r="AD194" s="939">
        <f>ROUND((((W194*D192)/1800)),4)</f>
        <v>3.3999999999999998E-3</v>
      </c>
      <c r="AE194" s="939">
        <f>ROUND(((Y194+Z194+AA194)),5)</f>
        <v>7.3000000000000001E-3</v>
      </c>
      <c r="AF194" s="61"/>
      <c r="AG194" s="61"/>
      <c r="AH194" s="61"/>
      <c r="AI194" s="61"/>
    </row>
    <row r="195" spans="1:37" s="417" customFormat="1" ht="15" customHeight="1" x14ac:dyDescent="0.2">
      <c r="A195" s="562"/>
      <c r="B195" s="414"/>
      <c r="C195" s="414"/>
      <c r="D195" s="400"/>
      <c r="E195" s="400"/>
      <c r="F195" s="400"/>
      <c r="G195" s="400"/>
      <c r="H195" s="400"/>
      <c r="I195" s="400"/>
      <c r="J195" s="400"/>
      <c r="K195" s="400">
        <v>0.43</v>
      </c>
      <c r="L195" s="400">
        <v>0.51</v>
      </c>
      <c r="M195" s="400"/>
      <c r="N195" s="400"/>
      <c r="O195" s="400"/>
      <c r="P195" s="400"/>
      <c r="Q195" s="400"/>
      <c r="R195" s="482">
        <v>0.3</v>
      </c>
      <c r="S195" s="208">
        <f>ROUND((K195*H192+1.3*K195*J192+R195*G192),4)</f>
        <v>162.80250000000001</v>
      </c>
      <c r="T195" s="208">
        <f>ROUND((L195*0.9*H192+1.3*L195*0.9*J192+R195*G192),4)</f>
        <v>172.56829999999999</v>
      </c>
      <c r="U195" s="208">
        <f>ROUND((L195*H192+1.3*L195*J192+R195*G192),4)</f>
        <v>189.74250000000001</v>
      </c>
      <c r="V195" s="208">
        <f>ROUND((K195*I192+1.3*K195*M192+R195*F192),4)</f>
        <v>13.41</v>
      </c>
      <c r="W195" s="208">
        <f>ROUND((L195*0.9*I192+1.3*L195*0.9*M192+R195*F192),4)</f>
        <v>14.193</v>
      </c>
      <c r="X195" s="208">
        <f>ROUND((L195*I192+1.3*M192+R195*F192),4)</f>
        <v>21.94</v>
      </c>
      <c r="Y195" s="404">
        <f>ROUND((O192*S195*E192*N192/1000000),4)</f>
        <v>0</v>
      </c>
      <c r="Z195" s="404">
        <f>ROUND((P192*T195*E192*N192/1000000),4)</f>
        <v>5.1999999999999998E-3</v>
      </c>
      <c r="AA195" s="404">
        <f>ROUND((Q192*U195*E192*N192/1000000),4)</f>
        <v>1.14E-2</v>
      </c>
      <c r="AB195" s="937" t="s">
        <v>177</v>
      </c>
      <c r="AC195" s="938" t="s">
        <v>178</v>
      </c>
      <c r="AD195" s="939">
        <f>ROUND((((W195*D192)/1800)),4)</f>
        <v>7.9000000000000008E-3</v>
      </c>
      <c r="AE195" s="939">
        <f>ROUND(((Y195+Z195+AA195)),4)</f>
        <v>1.66E-2</v>
      </c>
      <c r="AF195" s="61"/>
      <c r="AG195" s="61"/>
      <c r="AH195" s="61"/>
      <c r="AI195" s="61"/>
    </row>
    <row r="196" spans="1:37" s="417" customFormat="1" ht="15" customHeight="1" x14ac:dyDescent="0.2">
      <c r="A196" s="562"/>
      <c r="B196" s="414"/>
      <c r="C196" s="414"/>
      <c r="D196" s="400"/>
      <c r="E196" s="400"/>
      <c r="F196" s="400"/>
      <c r="G196" s="400"/>
      <c r="H196" s="400"/>
      <c r="I196" s="400"/>
      <c r="J196" s="400"/>
      <c r="K196" s="400">
        <v>0.27</v>
      </c>
      <c r="L196" s="400">
        <v>0.41</v>
      </c>
      <c r="M196" s="400"/>
      <c r="N196" s="400"/>
      <c r="O196" s="400"/>
      <c r="P196" s="400"/>
      <c r="Q196" s="400"/>
      <c r="R196" s="482">
        <v>0.06</v>
      </c>
      <c r="S196" s="208">
        <f>ROUND((K196*H192+1.3*K196*J192+R196*G192),4)</f>
        <v>94.522499999999994</v>
      </c>
      <c r="T196" s="208">
        <f>ROUND((L196*0.9*H192+1.3*L196*0.9*J192+R196*G192),4)</f>
        <v>127.8608</v>
      </c>
      <c r="U196" s="208">
        <f>ROUND((L196*H192+1.3*L196*J192+R196*G192),4)</f>
        <v>141.66749999999999</v>
      </c>
      <c r="V196" s="208">
        <f>ROUND((K196*I192+1.3*K196*M192+R196*F192),4)</f>
        <v>7.65</v>
      </c>
      <c r="W196" s="208">
        <f>ROUND((L196*0.9*I192+1.3*L196*0.9*M192+R196*F192),4)</f>
        <v>10.323</v>
      </c>
      <c r="X196" s="208">
        <f>ROUND((L196*I192+1.3*L196*M192+R196*F192),4)</f>
        <v>11.43</v>
      </c>
      <c r="Y196" s="404">
        <f>ROUND((O192*S196*E192*N192/1000000),4)</f>
        <v>0</v>
      </c>
      <c r="Z196" s="404">
        <f>ROUND((P192*T196*E192*N192/1000000),4)</f>
        <v>3.8E-3</v>
      </c>
      <c r="AA196" s="404">
        <f>ROUND((Q192*U196*E192*N192/1000000),4)</f>
        <v>8.5000000000000006E-3</v>
      </c>
      <c r="AB196" s="937" t="s">
        <v>61</v>
      </c>
      <c r="AC196" s="938" t="s">
        <v>62</v>
      </c>
      <c r="AD196" s="939">
        <f>ROUND((((W196*D192)/1800)),4)</f>
        <v>5.7000000000000002E-3</v>
      </c>
      <c r="AE196" s="939">
        <f>ROUND(((Y196+Z196+AA196)),4)</f>
        <v>1.23E-2</v>
      </c>
      <c r="AF196" s="61"/>
      <c r="AG196" s="61"/>
      <c r="AH196" s="61"/>
      <c r="AI196" s="61"/>
    </row>
    <row r="197" spans="1:37" s="417" customFormat="1" ht="15" customHeight="1" x14ac:dyDescent="0.2">
      <c r="A197" s="513"/>
      <c r="B197" s="416"/>
      <c r="C197" s="416"/>
      <c r="D197" s="401"/>
      <c r="E197" s="401"/>
      <c r="F197" s="401"/>
      <c r="G197" s="401"/>
      <c r="H197" s="401"/>
      <c r="I197" s="401"/>
      <c r="J197" s="401"/>
      <c r="K197" s="401">
        <v>1.29</v>
      </c>
      <c r="L197" s="401">
        <v>1.57</v>
      </c>
      <c r="M197" s="401"/>
      <c r="N197" s="401"/>
      <c r="O197" s="401"/>
      <c r="P197" s="401"/>
      <c r="Q197" s="401"/>
      <c r="R197" s="482">
        <v>2.4</v>
      </c>
      <c r="S197" s="175">
        <f>ROUND((K197*H192+1.3*K197*J192+R197*G192),4)</f>
        <v>578.40750000000003</v>
      </c>
      <c r="T197" s="175">
        <f>ROUND((L197*0.9*H192+1.3*L197*0.9*J192+R197*G192),4)</f>
        <v>619.82780000000002</v>
      </c>
      <c r="U197" s="175">
        <f>ROUND((L197*H192+1.3*L197*J192+R197*G192),4)</f>
        <v>672.69749999999999</v>
      </c>
      <c r="V197" s="175">
        <f>ROUND((K197*I192+1.3*K197*M192+R197*F192),4)</f>
        <v>49.23</v>
      </c>
      <c r="W197" s="175">
        <f>ROUND((L197*0.9*I192+1.3*L197*0.9*M192+R197*F192),4)</f>
        <v>52.551000000000002</v>
      </c>
      <c r="X197" s="175">
        <f>ROUND((L197*I192+1.3*L197*M192+R197*F192),4)</f>
        <v>56.79</v>
      </c>
      <c r="Y197" s="489">
        <f>ROUND((O192*S197*E192*N192/1000000),4)</f>
        <v>0</v>
      </c>
      <c r="Z197" s="489">
        <f>ROUND((P192*T197*E192*N192/1000000),4)</f>
        <v>1.8599999999999998E-2</v>
      </c>
      <c r="AA197" s="489">
        <f>ROUND((Q192*U197*E192*N192/1000000),4)</f>
        <v>4.0399999999999998E-2</v>
      </c>
      <c r="AB197" s="937" t="s">
        <v>65</v>
      </c>
      <c r="AC197" s="938" t="s">
        <v>66</v>
      </c>
      <c r="AD197" s="939">
        <f>ROUND((((W197*D192)/1800)),4)</f>
        <v>2.92E-2</v>
      </c>
      <c r="AE197" s="939">
        <f>ROUND(((Y197+Z197+AA197)),4)</f>
        <v>5.8999999999999997E-2</v>
      </c>
      <c r="AF197" s="61">
        <f>SUM(AD192:AD197)</f>
        <v>8.2100000000000006E-2</v>
      </c>
      <c r="AG197" s="61">
        <f>SUM(AE192:AE197)</f>
        <v>0.16720000000000002</v>
      </c>
      <c r="AH197" s="61"/>
      <c r="AI197" s="61"/>
    </row>
    <row r="198" spans="1:37" s="417" customFormat="1" ht="15" customHeight="1" x14ac:dyDescent="0.2">
      <c r="A198" s="1284" t="s">
        <v>496</v>
      </c>
      <c r="B198" s="1437"/>
      <c r="C198" s="1438"/>
      <c r="D198" s="1438"/>
      <c r="E198" s="1438"/>
      <c r="F198" s="1438"/>
      <c r="G198" s="1438"/>
      <c r="H198" s="1438"/>
      <c r="I198" s="1438"/>
      <c r="J198" s="1438"/>
      <c r="K198" s="1438"/>
      <c r="L198" s="1438"/>
      <c r="M198" s="1438"/>
      <c r="N198" s="1438"/>
      <c r="O198" s="1438"/>
      <c r="P198" s="1438"/>
      <c r="Q198" s="1438"/>
      <c r="R198" s="1438"/>
      <c r="S198" s="1438"/>
      <c r="T198" s="1438"/>
      <c r="U198" s="1438"/>
      <c r="V198" s="1438"/>
      <c r="W198" s="1438"/>
      <c r="X198" s="1438"/>
      <c r="Y198" s="1438"/>
      <c r="Z198" s="1438"/>
      <c r="AA198" s="1438"/>
      <c r="AB198" s="1438"/>
      <c r="AC198" s="1438"/>
      <c r="AD198" s="1438"/>
      <c r="AE198" s="1439"/>
      <c r="AF198" s="61"/>
      <c r="AG198" s="61"/>
      <c r="AH198" s="61"/>
      <c r="AI198" s="61"/>
    </row>
    <row r="199" spans="1:37" s="417" customFormat="1" ht="15" customHeight="1" x14ac:dyDescent="0.2">
      <c r="A199" s="560" t="s">
        <v>475</v>
      </c>
      <c r="B199" s="486" t="s">
        <v>343</v>
      </c>
      <c r="C199" s="413">
        <v>4</v>
      </c>
      <c r="D199" s="381">
        <v>1</v>
      </c>
      <c r="E199" s="381">
        <v>1</v>
      </c>
      <c r="F199" s="381">
        <v>6</v>
      </c>
      <c r="G199" s="381">
        <v>60</v>
      </c>
      <c r="H199" s="381">
        <f>(8-1-0.75*2)*60*E199-J199-8*0.12*60</f>
        <v>57.900000000000006</v>
      </c>
      <c r="I199" s="381">
        <v>14</v>
      </c>
      <c r="J199" s="381">
        <f>(8-1-0.75*2)*0.65*60*E199</f>
        <v>214.5</v>
      </c>
      <c r="K199" s="381">
        <v>2.4700000000000002</v>
      </c>
      <c r="L199" s="381">
        <v>2.4700000000000002</v>
      </c>
      <c r="M199" s="381">
        <v>10</v>
      </c>
      <c r="N199" s="381">
        <f>D199/E199</f>
        <v>1</v>
      </c>
      <c r="O199" s="485">
        <v>0</v>
      </c>
      <c r="P199" s="485">
        <v>30</v>
      </c>
      <c r="Q199" s="483">
        <v>60</v>
      </c>
      <c r="R199" s="381">
        <v>0.48</v>
      </c>
      <c r="S199" s="208">
        <f>ROUND((K199*H199+1.3*K199*J199+R199*G199),4)</f>
        <v>860.57249999999999</v>
      </c>
      <c r="T199" s="208">
        <f>ROUND((L199*H199+1.3*L199*J199+R199*G199),4)</f>
        <v>860.57249999999999</v>
      </c>
      <c r="U199" s="208">
        <f>ROUND((L199*H199+1.3*L199*J199+R199*G199),4)</f>
        <v>860.57249999999999</v>
      </c>
      <c r="V199" s="208">
        <f>ROUND((K199*I199+1.3*K199*M199+R199*F199),4)</f>
        <v>69.569999999999993</v>
      </c>
      <c r="W199" s="208">
        <f>ROUND((L199*I199+1.3*L199*M199+R199*F199),4)</f>
        <v>69.569999999999993</v>
      </c>
      <c r="X199" s="208">
        <f>ROUND((L199*I199+1.3*L199*M199+R199*F199),4)</f>
        <v>69.569999999999993</v>
      </c>
      <c r="Y199" s="404">
        <f>ROUND((O199*S199*E199*N199/1000000),4)</f>
        <v>0</v>
      </c>
      <c r="Z199" s="404">
        <f>ROUND((P199*T199*E199*N199/1000000),4)</f>
        <v>2.58E-2</v>
      </c>
      <c r="AA199" s="404">
        <f>ROUND((Q199*U199*E199*N199/1000000),4)</f>
        <v>5.16E-2</v>
      </c>
      <c r="AB199" s="937" t="s">
        <v>48</v>
      </c>
      <c r="AC199" s="938" t="s">
        <v>49</v>
      </c>
      <c r="AD199" s="939">
        <f>ROUND((((W199*D199)/1800)*0.8),4)</f>
        <v>3.09E-2</v>
      </c>
      <c r="AE199" s="939">
        <f>ROUND(((Y199+Z199+AA199)*0.8),4)</f>
        <v>6.1899999999999997E-2</v>
      </c>
      <c r="AF199" s="61"/>
      <c r="AG199" s="61"/>
      <c r="AH199" s="61"/>
      <c r="AI199" s="61"/>
    </row>
    <row r="200" spans="1:37" s="417" customFormat="1" ht="15" customHeight="1" x14ac:dyDescent="0.2">
      <c r="A200" s="561" t="s">
        <v>492</v>
      </c>
      <c r="B200" s="487" t="s">
        <v>359</v>
      </c>
      <c r="C200" s="414"/>
      <c r="D200" s="400"/>
      <c r="E200" s="400"/>
      <c r="F200" s="400"/>
      <c r="G200" s="400"/>
      <c r="H200" s="400"/>
      <c r="I200" s="400"/>
      <c r="J200" s="400"/>
      <c r="K200" s="400"/>
      <c r="L200" s="400"/>
      <c r="M200" s="400"/>
      <c r="N200" s="400"/>
      <c r="O200" s="400"/>
      <c r="P200" s="400"/>
      <c r="Q200" s="400"/>
      <c r="R200" s="488"/>
      <c r="S200" s="407"/>
      <c r="T200" s="407"/>
      <c r="U200" s="407"/>
      <c r="V200" s="407"/>
      <c r="W200" s="407"/>
      <c r="X200" s="407"/>
      <c r="Y200" s="407"/>
      <c r="Z200" s="407"/>
      <c r="AA200" s="407"/>
      <c r="AB200" s="937" t="s">
        <v>51</v>
      </c>
      <c r="AC200" s="938" t="s">
        <v>52</v>
      </c>
      <c r="AD200" s="939">
        <f>ROUND((((W199*D199)/1800)*0.13),4)</f>
        <v>5.0000000000000001E-3</v>
      </c>
      <c r="AE200" s="939">
        <f>ROUND(((Y199+Z199+AA199)*0.13),4)</f>
        <v>1.01E-2</v>
      </c>
      <c r="AF200" s="61"/>
      <c r="AG200" s="61"/>
      <c r="AH200" s="61"/>
      <c r="AI200" s="61"/>
    </row>
    <row r="201" spans="1:37" s="417" customFormat="1" ht="15" customHeight="1" x14ac:dyDescent="0.2">
      <c r="A201" s="562"/>
      <c r="B201" s="414" t="s">
        <v>360</v>
      </c>
      <c r="C201" s="415"/>
      <c r="D201" s="400"/>
      <c r="E201" s="400"/>
      <c r="F201" s="400"/>
      <c r="G201" s="400"/>
      <c r="H201" s="400"/>
      <c r="I201" s="400"/>
      <c r="J201" s="400"/>
      <c r="K201" s="400">
        <v>0.19</v>
      </c>
      <c r="L201" s="400">
        <v>0.23</v>
      </c>
      <c r="M201" s="400"/>
      <c r="N201" s="400"/>
      <c r="O201" s="400"/>
      <c r="P201" s="400"/>
      <c r="Q201" s="400"/>
      <c r="R201" s="482">
        <v>9.7000000000000003E-2</v>
      </c>
      <c r="S201" s="208">
        <f>ROUND((K201*H199+1.3*K201*J199+R201*G199),4)</f>
        <v>69.802499999999995</v>
      </c>
      <c r="T201" s="208">
        <f>ROUND((L201*0.9*H199+1.3*L201*0.9*J199+R201*G199),4)</f>
        <v>75.527299999999997</v>
      </c>
      <c r="U201" s="208">
        <f>ROUND((L201*H199+1.3*L201*J199+R201*G199),4)</f>
        <v>83.272499999999994</v>
      </c>
      <c r="V201" s="208">
        <f>ROUND((K201*I199+1.3*K201*M199+R201*F199),4)</f>
        <v>5.7119999999999997</v>
      </c>
      <c r="W201" s="208">
        <f>ROUND((L201*0.9*I199+1.3*L201*0.9*M199+R201*F199),4)</f>
        <v>6.1710000000000003</v>
      </c>
      <c r="X201" s="208">
        <f>ROUND((L201*I199+1.3*L201*M199+R201*F199),4)</f>
        <v>6.7919999999999998</v>
      </c>
      <c r="Y201" s="404">
        <f>ROUND((O199*S201*E199*N199/1000000),4)</f>
        <v>0</v>
      </c>
      <c r="Z201" s="404">
        <f>ROUND((P199*T201*E199*N199/1000000),4)</f>
        <v>2.3E-3</v>
      </c>
      <c r="AA201" s="404">
        <f>ROUND((Q199*U201*E199*N199/1000000),4)</f>
        <v>5.0000000000000001E-3</v>
      </c>
      <c r="AB201" s="937" t="s">
        <v>56</v>
      </c>
      <c r="AC201" s="938" t="s">
        <v>57</v>
      </c>
      <c r="AD201" s="939">
        <f>ROUND((((W201*D199)/1800)),4)</f>
        <v>3.3999999999999998E-3</v>
      </c>
      <c r="AE201" s="939">
        <f>ROUND(((Y201+Z201+AA201)),5)</f>
        <v>7.3000000000000001E-3</v>
      </c>
      <c r="AF201" s="61"/>
      <c r="AG201" s="61"/>
      <c r="AH201" s="61"/>
      <c r="AI201" s="61"/>
    </row>
    <row r="202" spans="1:37" s="417" customFormat="1" ht="15" customHeight="1" x14ac:dyDescent="0.2">
      <c r="A202" s="562"/>
      <c r="B202" s="414"/>
      <c r="C202" s="414"/>
      <c r="D202" s="400"/>
      <c r="E202" s="400"/>
      <c r="F202" s="400"/>
      <c r="G202" s="400"/>
      <c r="H202" s="400"/>
      <c r="I202" s="400"/>
      <c r="J202" s="400"/>
      <c r="K202" s="400">
        <v>0.43</v>
      </c>
      <c r="L202" s="400">
        <v>0.51</v>
      </c>
      <c r="M202" s="400"/>
      <c r="N202" s="400"/>
      <c r="O202" s="400"/>
      <c r="P202" s="400"/>
      <c r="Q202" s="400"/>
      <c r="R202" s="482">
        <v>0.3</v>
      </c>
      <c r="S202" s="208">
        <f>ROUND((K202*H199+1.3*K202*J199+R202*G199),4)</f>
        <v>162.80250000000001</v>
      </c>
      <c r="T202" s="208">
        <f>ROUND((L202*0.9*H199+1.3*L202*0.9*J199+R202*G199),4)</f>
        <v>172.56829999999999</v>
      </c>
      <c r="U202" s="208">
        <f>ROUND((L202*H199+1.3*L202*J199+R202*G199),4)</f>
        <v>189.74250000000001</v>
      </c>
      <c r="V202" s="208">
        <f>ROUND((K202*I199+1.3*K202*M199+R202*F199),4)</f>
        <v>13.41</v>
      </c>
      <c r="W202" s="208">
        <f>ROUND((L202*0.9*I199+1.3*L202*0.9*M199+R202*F199),4)</f>
        <v>14.193</v>
      </c>
      <c r="X202" s="208">
        <f>ROUND((L202*I199+1.3*M199+R202*F199),4)</f>
        <v>21.94</v>
      </c>
      <c r="Y202" s="404">
        <f>ROUND((O199*S202*E199*N199/1000000),4)</f>
        <v>0</v>
      </c>
      <c r="Z202" s="404">
        <f>ROUND((P199*T202*E199*N199/1000000),4)</f>
        <v>5.1999999999999998E-3</v>
      </c>
      <c r="AA202" s="404">
        <f>ROUND((Q199*U202*E199*N199/1000000),4)</f>
        <v>1.14E-2</v>
      </c>
      <c r="AB202" s="937" t="s">
        <v>177</v>
      </c>
      <c r="AC202" s="938" t="s">
        <v>178</v>
      </c>
      <c r="AD202" s="939">
        <f>ROUND((((W202*D199)/1800)),4)</f>
        <v>7.9000000000000008E-3</v>
      </c>
      <c r="AE202" s="939">
        <f>ROUND(((Y202+Z202+AA202)),4)</f>
        <v>1.66E-2</v>
      </c>
      <c r="AF202" s="61"/>
      <c r="AG202" s="61"/>
      <c r="AH202" s="61"/>
      <c r="AI202" s="61"/>
    </row>
    <row r="203" spans="1:37" s="417" customFormat="1" ht="15" customHeight="1" x14ac:dyDescent="0.2">
      <c r="A203" s="562"/>
      <c r="B203" s="414"/>
      <c r="C203" s="414"/>
      <c r="D203" s="400"/>
      <c r="E203" s="400"/>
      <c r="F203" s="400"/>
      <c r="G203" s="400"/>
      <c r="H203" s="400"/>
      <c r="I203" s="400"/>
      <c r="J203" s="400"/>
      <c r="K203" s="400">
        <v>0.27</v>
      </c>
      <c r="L203" s="400">
        <v>0.41</v>
      </c>
      <c r="M203" s="400"/>
      <c r="N203" s="400"/>
      <c r="O203" s="400"/>
      <c r="P203" s="400"/>
      <c r="Q203" s="400"/>
      <c r="R203" s="482">
        <v>0.06</v>
      </c>
      <c r="S203" s="208">
        <f>ROUND((K203*H199+1.3*K203*J199+R203*G199),4)</f>
        <v>94.522499999999994</v>
      </c>
      <c r="T203" s="208">
        <f>ROUND((L203*0.9*H199+1.3*L203*0.9*J199+R203*G199),4)</f>
        <v>127.8608</v>
      </c>
      <c r="U203" s="208">
        <f>ROUND((L203*H199+1.3*L203*J199+R203*G199),4)</f>
        <v>141.66749999999999</v>
      </c>
      <c r="V203" s="208">
        <f>ROUND((K203*I199+1.3*K203*M199+R203*F199),4)</f>
        <v>7.65</v>
      </c>
      <c r="W203" s="208">
        <f>ROUND((L203*0.9*I199+1.3*L203*0.9*M199+R203*F199),4)</f>
        <v>10.323</v>
      </c>
      <c r="X203" s="208">
        <f>ROUND((L203*I199+1.3*L203*M199+R203*F199),4)</f>
        <v>11.43</v>
      </c>
      <c r="Y203" s="404">
        <f>ROUND((O199*S203*E199*N199/1000000),4)</f>
        <v>0</v>
      </c>
      <c r="Z203" s="404">
        <f>ROUND((P199*T203*E199*N199/1000000),4)</f>
        <v>3.8E-3</v>
      </c>
      <c r="AA203" s="404">
        <f>ROUND((Q199*U203*E199*N199/1000000),4)</f>
        <v>8.5000000000000006E-3</v>
      </c>
      <c r="AB203" s="937" t="s">
        <v>61</v>
      </c>
      <c r="AC203" s="938" t="s">
        <v>62</v>
      </c>
      <c r="AD203" s="939">
        <f>ROUND((((W203*D199)/1800)),4)</f>
        <v>5.7000000000000002E-3</v>
      </c>
      <c r="AE203" s="939">
        <f>ROUND(((Y203+Z203+AA203)),4)</f>
        <v>1.23E-2</v>
      </c>
      <c r="AF203" s="61"/>
      <c r="AG203" s="61"/>
      <c r="AH203" s="61"/>
      <c r="AI203" s="61"/>
    </row>
    <row r="204" spans="1:37" s="417" customFormat="1" ht="15" customHeight="1" x14ac:dyDescent="0.2">
      <c r="A204" s="513"/>
      <c r="B204" s="416"/>
      <c r="C204" s="416"/>
      <c r="D204" s="401"/>
      <c r="E204" s="401"/>
      <c r="F204" s="401"/>
      <c r="G204" s="401"/>
      <c r="H204" s="401"/>
      <c r="I204" s="401"/>
      <c r="J204" s="401"/>
      <c r="K204" s="401">
        <v>1.29</v>
      </c>
      <c r="L204" s="401">
        <v>1.57</v>
      </c>
      <c r="M204" s="401"/>
      <c r="N204" s="401"/>
      <c r="O204" s="401"/>
      <c r="P204" s="401"/>
      <c r="Q204" s="401"/>
      <c r="R204" s="482">
        <v>2.4</v>
      </c>
      <c r="S204" s="175">
        <f>ROUND((K204*H199+1.3*K204*J199+R204*G199),4)</f>
        <v>578.40750000000003</v>
      </c>
      <c r="T204" s="175">
        <f>ROUND((L204*0.9*H199+1.3*L204*0.9*J199+R204*G199),4)</f>
        <v>619.82780000000002</v>
      </c>
      <c r="U204" s="175">
        <f>ROUND((L204*H199+1.3*L204*J199+R204*G199),4)</f>
        <v>672.69749999999999</v>
      </c>
      <c r="V204" s="175">
        <f>ROUND((K204*I199+1.3*K204*M199+R204*F199),4)</f>
        <v>49.23</v>
      </c>
      <c r="W204" s="175">
        <f>ROUND((L204*0.9*I199+1.3*L204*0.9*M199+R204*F199),4)</f>
        <v>52.551000000000002</v>
      </c>
      <c r="X204" s="175">
        <f>ROUND((L204*I199+1.3*L204*M199+R204*F199),4)</f>
        <v>56.79</v>
      </c>
      <c r="Y204" s="489">
        <f>ROUND((O199*S204*E199*N199/1000000),4)</f>
        <v>0</v>
      </c>
      <c r="Z204" s="489">
        <f>ROUND((P199*T204*E199*N199/1000000),4)</f>
        <v>1.8599999999999998E-2</v>
      </c>
      <c r="AA204" s="489">
        <f>ROUND((Q199*U204*E199*N199/1000000),4)</f>
        <v>4.0399999999999998E-2</v>
      </c>
      <c r="AB204" s="937" t="s">
        <v>65</v>
      </c>
      <c r="AC204" s="938" t="s">
        <v>66</v>
      </c>
      <c r="AD204" s="939">
        <f>ROUND((((W204*D199)/1800)),4)</f>
        <v>2.92E-2</v>
      </c>
      <c r="AE204" s="939">
        <f>ROUND(((Y204+Z204+AA204)),4)</f>
        <v>5.8999999999999997E-2</v>
      </c>
      <c r="AF204" s="61">
        <f>SUM(AD199:AD204)</f>
        <v>8.2100000000000006E-2</v>
      </c>
      <c r="AG204" s="61">
        <f>SUM(AE199:AE204)</f>
        <v>0.16720000000000002</v>
      </c>
      <c r="AH204" s="61"/>
      <c r="AI204" s="61"/>
    </row>
    <row r="205" spans="1:37" s="417" customFormat="1" ht="15" customHeight="1" x14ac:dyDescent="0.2">
      <c r="A205" s="1284" t="s">
        <v>645</v>
      </c>
      <c r="B205" s="1437"/>
      <c r="C205" s="1438"/>
      <c r="D205" s="1438"/>
      <c r="E205" s="1438"/>
      <c r="F205" s="1438"/>
      <c r="G205" s="1438"/>
      <c r="H205" s="1438"/>
      <c r="I205" s="1438"/>
      <c r="J205" s="1438"/>
      <c r="K205" s="1438"/>
      <c r="L205" s="1438"/>
      <c r="M205" s="1438"/>
      <c r="N205" s="1438"/>
      <c r="O205" s="1438"/>
      <c r="P205" s="1438"/>
      <c r="Q205" s="1438"/>
      <c r="R205" s="1438"/>
      <c r="S205" s="1438"/>
      <c r="T205" s="1438"/>
      <c r="U205" s="1438"/>
      <c r="V205" s="1438"/>
      <c r="W205" s="1438"/>
      <c r="X205" s="1438"/>
      <c r="Y205" s="1438"/>
      <c r="Z205" s="1438"/>
      <c r="AA205" s="1438"/>
      <c r="AB205" s="1438"/>
      <c r="AC205" s="1438"/>
      <c r="AD205" s="1438"/>
      <c r="AE205" s="1439"/>
      <c r="AF205" s="61"/>
      <c r="AG205" s="1515"/>
      <c r="AH205" s="1515"/>
      <c r="AI205" s="1515"/>
      <c r="AJ205" s="1515"/>
      <c r="AK205" s="1515"/>
    </row>
    <row r="206" spans="1:37" s="417" customFormat="1" ht="15" customHeight="1" x14ac:dyDescent="0.2">
      <c r="A206" s="560" t="s">
        <v>479</v>
      </c>
      <c r="B206" s="486" t="s">
        <v>343</v>
      </c>
      <c r="C206" s="413">
        <v>4</v>
      </c>
      <c r="D206" s="381">
        <v>1</v>
      </c>
      <c r="E206" s="381">
        <v>1</v>
      </c>
      <c r="F206" s="381">
        <v>6</v>
      </c>
      <c r="G206" s="381">
        <v>60</v>
      </c>
      <c r="H206" s="381">
        <f>(8-1-0.75*2)*60*E206-J206-8*0.12*60</f>
        <v>57.900000000000006</v>
      </c>
      <c r="I206" s="381">
        <v>14</v>
      </c>
      <c r="J206" s="381">
        <f>(8-1-0.75*2)*0.65*60*E206</f>
        <v>214.5</v>
      </c>
      <c r="K206" s="381">
        <v>2.4700000000000002</v>
      </c>
      <c r="L206" s="381">
        <v>2.4700000000000002</v>
      </c>
      <c r="M206" s="381">
        <v>10</v>
      </c>
      <c r="N206" s="381">
        <f>D206/E206</f>
        <v>1</v>
      </c>
      <c r="O206" s="485">
        <v>0</v>
      </c>
      <c r="P206" s="485">
        <v>30</v>
      </c>
      <c r="Q206" s="483">
        <v>60</v>
      </c>
      <c r="R206" s="381">
        <v>0.48</v>
      </c>
      <c r="S206" s="208">
        <f>ROUND((K206*H206+1.3*K206*J206+R206*G206),4)</f>
        <v>860.57249999999999</v>
      </c>
      <c r="T206" s="208">
        <f>ROUND((L206*H206+1.3*L206*J206+R206*G206),4)</f>
        <v>860.57249999999999</v>
      </c>
      <c r="U206" s="208">
        <f>ROUND((L206*H206+1.3*L206*J206+R206*G206),4)</f>
        <v>860.57249999999999</v>
      </c>
      <c r="V206" s="208">
        <f>ROUND((K206*I206+1.3*K206*M206+R206*F206),4)</f>
        <v>69.569999999999993</v>
      </c>
      <c r="W206" s="208">
        <f>ROUND((L206*I206+1.3*L206*M206+R206*F206),4)</f>
        <v>69.569999999999993</v>
      </c>
      <c r="X206" s="208">
        <f>ROUND((L206*I206+1.3*L206*M206+R206*F206),4)</f>
        <v>69.569999999999993</v>
      </c>
      <c r="Y206" s="404">
        <f>ROUND((O206*S206*E206*N206/1000000),4)</f>
        <v>0</v>
      </c>
      <c r="Z206" s="404">
        <f>ROUND((P206*T206*E206*N206/1000000),4)</f>
        <v>2.58E-2</v>
      </c>
      <c r="AA206" s="404">
        <f>ROUND((Q206*U206*E206*N206/1000000),4)</f>
        <v>5.16E-2</v>
      </c>
      <c r="AB206" s="937" t="s">
        <v>48</v>
      </c>
      <c r="AC206" s="938" t="s">
        <v>49</v>
      </c>
      <c r="AD206" s="939">
        <f>ROUND((((W206*D206)/1800)*0.8),4)</f>
        <v>3.09E-2</v>
      </c>
      <c r="AE206" s="939">
        <f>ROUND(((Y206+Z206+AA206)*0.8),4)</f>
        <v>6.1899999999999997E-2</v>
      </c>
      <c r="AF206" s="61"/>
      <c r="AG206" s="61"/>
      <c r="AH206" s="61"/>
      <c r="AI206" s="61"/>
    </row>
    <row r="207" spans="1:37" s="417" customFormat="1" ht="15" customHeight="1" x14ac:dyDescent="0.2">
      <c r="A207" s="561"/>
      <c r="B207" s="487" t="s">
        <v>359</v>
      </c>
      <c r="C207" s="414"/>
      <c r="D207" s="400"/>
      <c r="E207" s="400"/>
      <c r="F207" s="400"/>
      <c r="G207" s="400"/>
      <c r="H207" s="400"/>
      <c r="I207" s="400"/>
      <c r="J207" s="400"/>
      <c r="K207" s="400"/>
      <c r="L207" s="400"/>
      <c r="M207" s="400"/>
      <c r="N207" s="400"/>
      <c r="O207" s="400"/>
      <c r="P207" s="400"/>
      <c r="Q207" s="400"/>
      <c r="R207" s="488"/>
      <c r="S207" s="407"/>
      <c r="T207" s="407"/>
      <c r="U207" s="407"/>
      <c r="V207" s="407"/>
      <c r="W207" s="407"/>
      <c r="X207" s="407"/>
      <c r="Y207" s="407"/>
      <c r="Z207" s="407"/>
      <c r="AA207" s="407"/>
      <c r="AB207" s="937" t="s">
        <v>51</v>
      </c>
      <c r="AC207" s="938" t="s">
        <v>52</v>
      </c>
      <c r="AD207" s="939">
        <f>ROUND((((W206*D206)/1800)*0.13),4)</f>
        <v>5.0000000000000001E-3</v>
      </c>
      <c r="AE207" s="939">
        <f>ROUND(((Y206+Z206+AA206)*0.13),4)</f>
        <v>1.01E-2</v>
      </c>
      <c r="AF207" s="61"/>
      <c r="AG207" s="61"/>
      <c r="AH207" s="61"/>
      <c r="AI207" s="61"/>
    </row>
    <row r="208" spans="1:37" s="417" customFormat="1" ht="15" customHeight="1" x14ac:dyDescent="0.2">
      <c r="A208" s="562"/>
      <c r="B208" s="414" t="s">
        <v>360</v>
      </c>
      <c r="C208" s="415"/>
      <c r="D208" s="400"/>
      <c r="E208" s="400"/>
      <c r="F208" s="400"/>
      <c r="G208" s="400"/>
      <c r="H208" s="400"/>
      <c r="I208" s="400"/>
      <c r="J208" s="400"/>
      <c r="K208" s="400">
        <v>0.19</v>
      </c>
      <c r="L208" s="400">
        <v>0.23</v>
      </c>
      <c r="M208" s="400"/>
      <c r="N208" s="400"/>
      <c r="O208" s="400"/>
      <c r="P208" s="400"/>
      <c r="Q208" s="400"/>
      <c r="R208" s="482">
        <v>9.7000000000000003E-2</v>
      </c>
      <c r="S208" s="208">
        <f>ROUND((K208*H206+1.3*K208*J206+R208*G206),4)</f>
        <v>69.802499999999995</v>
      </c>
      <c r="T208" s="208">
        <f>ROUND((L208*0.9*H206+1.3*L208*0.9*J206+R208*G206),4)</f>
        <v>75.527299999999997</v>
      </c>
      <c r="U208" s="208">
        <f>ROUND((L208*H206+1.3*L208*J206+R208*G206),4)</f>
        <v>83.272499999999994</v>
      </c>
      <c r="V208" s="208">
        <f>ROUND((K208*I206+1.3*K208*M206+R208*F206),4)</f>
        <v>5.7119999999999997</v>
      </c>
      <c r="W208" s="208">
        <f>ROUND((L208*0.9*I206+1.3*L208*0.9*M206+R208*F206),4)</f>
        <v>6.1710000000000003</v>
      </c>
      <c r="X208" s="208">
        <f>ROUND((L208*I206+1.3*L208*M206+R208*F206),4)</f>
        <v>6.7919999999999998</v>
      </c>
      <c r="Y208" s="404">
        <f>ROUND((O206*S208*E206*N206/1000000),4)</f>
        <v>0</v>
      </c>
      <c r="Z208" s="404">
        <f>ROUND((P206*T208*E206*N206/1000000),4)</f>
        <v>2.3E-3</v>
      </c>
      <c r="AA208" s="404">
        <f>ROUND((Q206*U208*E206*N206/1000000),4)</f>
        <v>5.0000000000000001E-3</v>
      </c>
      <c r="AB208" s="937" t="s">
        <v>56</v>
      </c>
      <c r="AC208" s="938" t="s">
        <v>57</v>
      </c>
      <c r="AD208" s="939">
        <f>ROUND((((W208*D206)/1800)),4)</f>
        <v>3.3999999999999998E-3</v>
      </c>
      <c r="AE208" s="939">
        <f>ROUND(((Y208+Z208+AA208)),5)</f>
        <v>7.3000000000000001E-3</v>
      </c>
      <c r="AF208" s="61"/>
      <c r="AG208" s="61"/>
      <c r="AH208" s="61"/>
      <c r="AI208" s="61"/>
    </row>
    <row r="209" spans="1:35" s="417" customFormat="1" ht="15" customHeight="1" x14ac:dyDescent="0.2">
      <c r="A209" s="562"/>
      <c r="B209" s="414"/>
      <c r="C209" s="414"/>
      <c r="D209" s="400"/>
      <c r="E209" s="400"/>
      <c r="F209" s="400"/>
      <c r="G209" s="400"/>
      <c r="H209" s="400"/>
      <c r="I209" s="400"/>
      <c r="J209" s="400"/>
      <c r="K209" s="400">
        <v>0.43</v>
      </c>
      <c r="L209" s="400">
        <v>0.51</v>
      </c>
      <c r="M209" s="400"/>
      <c r="N209" s="400"/>
      <c r="O209" s="400"/>
      <c r="P209" s="400"/>
      <c r="Q209" s="400"/>
      <c r="R209" s="482">
        <v>0.3</v>
      </c>
      <c r="S209" s="208">
        <f>ROUND((K209*H206+1.3*K209*J206+R209*G206),4)</f>
        <v>162.80250000000001</v>
      </c>
      <c r="T209" s="208">
        <f>ROUND((L209*0.9*H206+1.3*L209*0.9*J206+R209*G206),4)</f>
        <v>172.56829999999999</v>
      </c>
      <c r="U209" s="208">
        <f>ROUND((L209*H206+1.3*L209*J206+R209*G206),4)</f>
        <v>189.74250000000001</v>
      </c>
      <c r="V209" s="208">
        <f>ROUND((K209*I206+1.3*K209*M206+R209*F206),4)</f>
        <v>13.41</v>
      </c>
      <c r="W209" s="208">
        <f>ROUND((L209*0.9*I206+1.3*L209*0.9*M206+R209*F206),4)</f>
        <v>14.193</v>
      </c>
      <c r="X209" s="208">
        <f>ROUND((L209*I206+1.3*M206+R209*F206),4)</f>
        <v>21.94</v>
      </c>
      <c r="Y209" s="404">
        <f>ROUND((O206*S209*E206*N206/1000000),4)</f>
        <v>0</v>
      </c>
      <c r="Z209" s="404">
        <f>ROUND((P206*T209*E206*N206/1000000),4)</f>
        <v>5.1999999999999998E-3</v>
      </c>
      <c r="AA209" s="404">
        <f>ROUND((Q206*U209*E206*N206/1000000),4)</f>
        <v>1.14E-2</v>
      </c>
      <c r="AB209" s="937" t="s">
        <v>177</v>
      </c>
      <c r="AC209" s="938" t="s">
        <v>178</v>
      </c>
      <c r="AD209" s="939">
        <f>ROUND((((W209*D206)/1800)),4)</f>
        <v>7.9000000000000008E-3</v>
      </c>
      <c r="AE209" s="939">
        <f>ROUND(((Y209+Z209+AA209)),4)</f>
        <v>1.66E-2</v>
      </c>
      <c r="AF209" s="61"/>
      <c r="AG209" s="61"/>
      <c r="AH209" s="61"/>
      <c r="AI209" s="61"/>
    </row>
    <row r="210" spans="1:35" s="417" customFormat="1" ht="15" customHeight="1" x14ac:dyDescent="0.2">
      <c r="A210" s="562"/>
      <c r="B210" s="414"/>
      <c r="C210" s="414"/>
      <c r="D210" s="400"/>
      <c r="E210" s="400"/>
      <c r="F210" s="400"/>
      <c r="G210" s="400"/>
      <c r="H210" s="400"/>
      <c r="I210" s="400"/>
      <c r="J210" s="400"/>
      <c r="K210" s="400">
        <v>0.27</v>
      </c>
      <c r="L210" s="400">
        <v>0.41</v>
      </c>
      <c r="M210" s="400"/>
      <c r="N210" s="400"/>
      <c r="O210" s="400"/>
      <c r="P210" s="400"/>
      <c r="Q210" s="400"/>
      <c r="R210" s="482">
        <v>0.06</v>
      </c>
      <c r="S210" s="208">
        <f>ROUND((K210*H206+1.3*K210*J206+R210*G206),4)</f>
        <v>94.522499999999994</v>
      </c>
      <c r="T210" s="208">
        <f>ROUND((L210*0.9*H206+1.3*L210*0.9*J206+R210*G206),4)</f>
        <v>127.8608</v>
      </c>
      <c r="U210" s="208">
        <f>ROUND((L210*H206+1.3*L210*J206+R210*G206),4)</f>
        <v>141.66749999999999</v>
      </c>
      <c r="V210" s="208">
        <f>ROUND((K210*I206+1.3*K210*M206+R210*F206),4)</f>
        <v>7.65</v>
      </c>
      <c r="W210" s="208">
        <f>ROUND((L210*0.9*I206+1.3*L210*0.9*M206+R210*F206),4)</f>
        <v>10.323</v>
      </c>
      <c r="X210" s="208">
        <f>ROUND((L210*I206+1.3*L210*M206+R210*F206),4)</f>
        <v>11.43</v>
      </c>
      <c r="Y210" s="404">
        <f>ROUND((O206*S210*E206*N206/1000000),4)</f>
        <v>0</v>
      </c>
      <c r="Z210" s="404">
        <f>ROUND((P206*T210*E206*N206/1000000),4)</f>
        <v>3.8E-3</v>
      </c>
      <c r="AA210" s="404">
        <f>ROUND((Q206*U210*E206*N206/1000000),4)</f>
        <v>8.5000000000000006E-3</v>
      </c>
      <c r="AB210" s="937" t="s">
        <v>61</v>
      </c>
      <c r="AC210" s="938" t="s">
        <v>62</v>
      </c>
      <c r="AD210" s="939">
        <f>ROUND((((W210*D206)/1800)),4)</f>
        <v>5.7000000000000002E-3</v>
      </c>
      <c r="AE210" s="939">
        <f>ROUND(((Y210+Z210+AA210)),4)</f>
        <v>1.23E-2</v>
      </c>
      <c r="AF210" s="61"/>
      <c r="AG210" s="61"/>
      <c r="AH210" s="61"/>
      <c r="AI210" s="61"/>
    </row>
    <row r="211" spans="1:35" s="417" customFormat="1" ht="15" customHeight="1" x14ac:dyDescent="0.2">
      <c r="A211" s="513"/>
      <c r="B211" s="416"/>
      <c r="C211" s="416"/>
      <c r="D211" s="401"/>
      <c r="E211" s="401"/>
      <c r="F211" s="401"/>
      <c r="G211" s="401"/>
      <c r="H211" s="401"/>
      <c r="I211" s="401"/>
      <c r="J211" s="401"/>
      <c r="K211" s="401">
        <v>1.29</v>
      </c>
      <c r="L211" s="401">
        <v>1.57</v>
      </c>
      <c r="M211" s="401"/>
      <c r="N211" s="401"/>
      <c r="O211" s="401"/>
      <c r="P211" s="401"/>
      <c r="Q211" s="401"/>
      <c r="R211" s="482">
        <v>2.4</v>
      </c>
      <c r="S211" s="175">
        <f>ROUND((K211*H206+1.3*K211*J206+R211*G206),4)</f>
        <v>578.40750000000003</v>
      </c>
      <c r="T211" s="175">
        <f>ROUND((L211*0.9*H206+1.3*L211*0.9*J206+R211*G206),4)</f>
        <v>619.82780000000002</v>
      </c>
      <c r="U211" s="175">
        <f>ROUND((L211*H206+1.3*L211*J206+R211*G206),4)</f>
        <v>672.69749999999999</v>
      </c>
      <c r="V211" s="175">
        <f>ROUND((K211*I206+1.3*K211*M206+R211*F206),4)</f>
        <v>49.23</v>
      </c>
      <c r="W211" s="175">
        <f>ROUND((L211*0.9*I206+1.3*L211*0.9*M206+R211*F206),4)</f>
        <v>52.551000000000002</v>
      </c>
      <c r="X211" s="175">
        <f>ROUND((L211*I206+1.3*L211*M206+R211*F206),4)</f>
        <v>56.79</v>
      </c>
      <c r="Y211" s="489">
        <f>ROUND((O206*S211*E206*N206/1000000),4)</f>
        <v>0</v>
      </c>
      <c r="Z211" s="489">
        <f>ROUND((P206*T211*E206*N206/1000000),4)</f>
        <v>1.8599999999999998E-2</v>
      </c>
      <c r="AA211" s="489">
        <f>ROUND((Q206*U211*E206*N206/1000000),4)</f>
        <v>4.0399999999999998E-2</v>
      </c>
      <c r="AB211" s="937" t="s">
        <v>65</v>
      </c>
      <c r="AC211" s="938" t="s">
        <v>66</v>
      </c>
      <c r="AD211" s="939">
        <f>ROUND((((W211*D206)/1800)),4)</f>
        <v>2.92E-2</v>
      </c>
      <c r="AE211" s="939">
        <f>ROUND(((Y211+Z211+AA211)),4)</f>
        <v>5.8999999999999997E-2</v>
      </c>
      <c r="AF211" s="61">
        <f>SUM(AD206:AD211)</f>
        <v>8.2100000000000006E-2</v>
      </c>
      <c r="AG211" s="61">
        <f>SUM(AE206:AE211)</f>
        <v>0.16720000000000002</v>
      </c>
      <c r="AH211" s="61"/>
      <c r="AI211" s="61"/>
    </row>
    <row r="212" spans="1:35" s="417" customFormat="1" ht="15" customHeight="1" x14ac:dyDescent="0.2">
      <c r="A212" s="1284" t="s">
        <v>523</v>
      </c>
      <c r="B212" s="1437"/>
      <c r="C212" s="1438"/>
      <c r="D212" s="1438"/>
      <c r="E212" s="1438"/>
      <c r="F212" s="1438"/>
      <c r="G212" s="1438"/>
      <c r="H212" s="1438"/>
      <c r="I212" s="1438"/>
      <c r="J212" s="1438"/>
      <c r="K212" s="1438"/>
      <c r="L212" s="1438"/>
      <c r="M212" s="1438"/>
      <c r="N212" s="1438"/>
      <c r="O212" s="1438"/>
      <c r="P212" s="1438"/>
      <c r="Q212" s="1438"/>
      <c r="R212" s="1438"/>
      <c r="S212" s="1438"/>
      <c r="T212" s="1438"/>
      <c r="U212" s="1438"/>
      <c r="V212" s="1438"/>
      <c r="W212" s="1438"/>
      <c r="X212" s="1438"/>
      <c r="Y212" s="1438"/>
      <c r="Z212" s="1438"/>
      <c r="AA212" s="1438"/>
      <c r="AB212" s="1438"/>
      <c r="AC212" s="1438"/>
      <c r="AD212" s="1438"/>
      <c r="AE212" s="1439"/>
      <c r="AF212" s="61"/>
      <c r="AG212" s="61"/>
      <c r="AH212" s="61"/>
      <c r="AI212" s="61"/>
    </row>
    <row r="213" spans="1:35" s="417" customFormat="1" ht="15" customHeight="1" x14ac:dyDescent="0.2">
      <c r="A213" s="560" t="s">
        <v>514</v>
      </c>
      <c r="B213" s="486" t="s">
        <v>343</v>
      </c>
      <c r="C213" s="413">
        <v>4</v>
      </c>
      <c r="D213" s="381">
        <v>1</v>
      </c>
      <c r="E213" s="381">
        <v>1</v>
      </c>
      <c r="F213" s="381">
        <v>6</v>
      </c>
      <c r="G213" s="381">
        <v>60</v>
      </c>
      <c r="H213" s="381">
        <f>(8-1-0.75*2)*60*E213-J213-8*0.12*60</f>
        <v>57.900000000000006</v>
      </c>
      <c r="I213" s="381">
        <v>14</v>
      </c>
      <c r="J213" s="381">
        <f>(8-1-0.75*2)*0.65*60*E213</f>
        <v>214.5</v>
      </c>
      <c r="K213" s="381">
        <v>2.4700000000000002</v>
      </c>
      <c r="L213" s="381">
        <v>2.4700000000000002</v>
      </c>
      <c r="M213" s="381">
        <v>10</v>
      </c>
      <c r="N213" s="381">
        <f>D213/E213</f>
        <v>1</v>
      </c>
      <c r="O213" s="485">
        <v>0</v>
      </c>
      <c r="P213" s="485">
        <v>30</v>
      </c>
      <c r="Q213" s="483">
        <v>60</v>
      </c>
      <c r="R213" s="381">
        <v>0.48</v>
      </c>
      <c r="S213" s="208">
        <f>ROUND((K213*H213+1.3*K213*J213+R213*G213),4)</f>
        <v>860.57249999999999</v>
      </c>
      <c r="T213" s="208">
        <f>ROUND((L213*H213+1.3*L213*J213+R213*G213),4)</f>
        <v>860.57249999999999</v>
      </c>
      <c r="U213" s="208">
        <f>ROUND((L213*H213+1.3*L213*J213+R213*G213),4)</f>
        <v>860.57249999999999</v>
      </c>
      <c r="V213" s="208">
        <f>ROUND((K213*I213+1.3*K213*M213+R213*F213),4)</f>
        <v>69.569999999999993</v>
      </c>
      <c r="W213" s="208">
        <f>ROUND((L213*I213+1.3*L213*M213+R213*F213),4)</f>
        <v>69.569999999999993</v>
      </c>
      <c r="X213" s="208">
        <f>ROUND((L213*I213+1.3*L213*M213+R213*F213),4)</f>
        <v>69.569999999999993</v>
      </c>
      <c r="Y213" s="404">
        <f>ROUND((O213*S213*E213*N213/1000000),4)</f>
        <v>0</v>
      </c>
      <c r="Z213" s="404">
        <f>ROUND((P213*T213*E213*N213/1000000),4)</f>
        <v>2.58E-2</v>
      </c>
      <c r="AA213" s="404">
        <f>ROUND((Q213*U213*E213*N213/1000000),4)</f>
        <v>5.16E-2</v>
      </c>
      <c r="AB213" s="937" t="s">
        <v>48</v>
      </c>
      <c r="AC213" s="938" t="s">
        <v>49</v>
      </c>
      <c r="AD213" s="939">
        <f>ROUND((((W213*D213)/1800)*0.8),4)</f>
        <v>3.09E-2</v>
      </c>
      <c r="AE213" s="939">
        <f>ROUND(((Y213+Z213+AA213)*0.8),4)</f>
        <v>6.1899999999999997E-2</v>
      </c>
      <c r="AF213" s="61"/>
      <c r="AG213" s="61"/>
      <c r="AH213" s="61"/>
      <c r="AI213" s="61"/>
    </row>
    <row r="214" spans="1:35" s="417" customFormat="1" ht="15" customHeight="1" x14ac:dyDescent="0.2">
      <c r="A214" s="561" t="s">
        <v>492</v>
      </c>
      <c r="B214" s="487" t="s">
        <v>359</v>
      </c>
      <c r="C214" s="414"/>
      <c r="D214" s="400"/>
      <c r="E214" s="400"/>
      <c r="F214" s="400"/>
      <c r="G214" s="400"/>
      <c r="H214" s="400"/>
      <c r="I214" s="400"/>
      <c r="J214" s="400"/>
      <c r="K214" s="400"/>
      <c r="L214" s="400"/>
      <c r="M214" s="400"/>
      <c r="N214" s="400"/>
      <c r="O214" s="400"/>
      <c r="P214" s="400"/>
      <c r="Q214" s="400"/>
      <c r="R214" s="488"/>
      <c r="S214" s="407"/>
      <c r="T214" s="407"/>
      <c r="U214" s="407"/>
      <c r="V214" s="407"/>
      <c r="W214" s="407"/>
      <c r="X214" s="407"/>
      <c r="Y214" s="407"/>
      <c r="Z214" s="407"/>
      <c r="AA214" s="407"/>
      <c r="AB214" s="937" t="s">
        <v>51</v>
      </c>
      <c r="AC214" s="938" t="s">
        <v>52</v>
      </c>
      <c r="AD214" s="939">
        <f>ROUND((((W213*D213)/1800)*0.13),4)</f>
        <v>5.0000000000000001E-3</v>
      </c>
      <c r="AE214" s="939">
        <f>ROUND(((Y213+Z213+AA213)*0.13),4)</f>
        <v>1.01E-2</v>
      </c>
      <c r="AF214" s="61"/>
      <c r="AG214" s="61"/>
      <c r="AH214" s="61"/>
      <c r="AI214" s="61"/>
    </row>
    <row r="215" spans="1:35" s="417" customFormat="1" ht="15" customHeight="1" x14ac:dyDescent="0.2">
      <c r="A215" s="562"/>
      <c r="B215" s="414" t="s">
        <v>360</v>
      </c>
      <c r="C215" s="415"/>
      <c r="D215" s="400"/>
      <c r="E215" s="400"/>
      <c r="F215" s="400"/>
      <c r="G215" s="400"/>
      <c r="H215" s="400"/>
      <c r="I215" s="400"/>
      <c r="J215" s="400"/>
      <c r="K215" s="400">
        <v>0.19</v>
      </c>
      <c r="L215" s="400">
        <v>0.23</v>
      </c>
      <c r="M215" s="400"/>
      <c r="N215" s="400"/>
      <c r="O215" s="400"/>
      <c r="P215" s="400"/>
      <c r="Q215" s="400"/>
      <c r="R215" s="482">
        <v>9.7000000000000003E-2</v>
      </c>
      <c r="S215" s="208">
        <f>ROUND((K215*H213+1.3*K215*J213+R215*G213),4)</f>
        <v>69.802499999999995</v>
      </c>
      <c r="T215" s="208">
        <f>ROUND((L215*0.9*H213+1.3*L215*0.9*J213+R215*G213),4)</f>
        <v>75.527299999999997</v>
      </c>
      <c r="U215" s="208">
        <f>ROUND((L215*H213+1.3*L215*J213+R215*G213),4)</f>
        <v>83.272499999999994</v>
      </c>
      <c r="V215" s="208">
        <f>ROUND((K215*I213+1.3*K215*M213+R215*F213),4)</f>
        <v>5.7119999999999997</v>
      </c>
      <c r="W215" s="208">
        <f>ROUND((L215*0.9*I213+1.3*L215*0.9*M213+R215*F213),4)</f>
        <v>6.1710000000000003</v>
      </c>
      <c r="X215" s="208">
        <f>ROUND((L215*I213+1.3*L215*M213+R215*F213),4)</f>
        <v>6.7919999999999998</v>
      </c>
      <c r="Y215" s="404">
        <f>ROUND((O213*S215*E213*N213/1000000),4)</f>
        <v>0</v>
      </c>
      <c r="Z215" s="404">
        <f>ROUND((P213*T215*E213*N213/1000000),4)</f>
        <v>2.3E-3</v>
      </c>
      <c r="AA215" s="404">
        <f>ROUND((Q213*U215*E213*N213/1000000),4)</f>
        <v>5.0000000000000001E-3</v>
      </c>
      <c r="AB215" s="937" t="s">
        <v>56</v>
      </c>
      <c r="AC215" s="938" t="s">
        <v>57</v>
      </c>
      <c r="AD215" s="939">
        <f>ROUND((((W215*D213)/1800)),4)</f>
        <v>3.3999999999999998E-3</v>
      </c>
      <c r="AE215" s="939">
        <f>ROUND(((Y215+Z215+AA215)),5)</f>
        <v>7.3000000000000001E-3</v>
      </c>
      <c r="AF215" s="61"/>
      <c r="AG215" s="61"/>
      <c r="AH215" s="61"/>
      <c r="AI215" s="61"/>
    </row>
    <row r="216" spans="1:35" s="417" customFormat="1" ht="15" customHeight="1" x14ac:dyDescent="0.2">
      <c r="A216" s="562"/>
      <c r="B216" s="414"/>
      <c r="C216" s="414"/>
      <c r="D216" s="400"/>
      <c r="E216" s="400"/>
      <c r="F216" s="400"/>
      <c r="G216" s="400"/>
      <c r="H216" s="400"/>
      <c r="I216" s="400"/>
      <c r="J216" s="400"/>
      <c r="K216" s="400">
        <v>0.43</v>
      </c>
      <c r="L216" s="400">
        <v>0.51</v>
      </c>
      <c r="M216" s="400"/>
      <c r="N216" s="400"/>
      <c r="O216" s="400"/>
      <c r="P216" s="400"/>
      <c r="Q216" s="400"/>
      <c r="R216" s="482">
        <v>0.3</v>
      </c>
      <c r="S216" s="208">
        <f>ROUND((K216*H213+1.3*K216*J213+R216*G213),4)</f>
        <v>162.80250000000001</v>
      </c>
      <c r="T216" s="208">
        <f>ROUND((L216*0.9*H213+1.3*L216*0.9*J213+R216*G213),4)</f>
        <v>172.56829999999999</v>
      </c>
      <c r="U216" s="208">
        <f>ROUND((L216*H213+1.3*L216*J213+R216*G213),4)</f>
        <v>189.74250000000001</v>
      </c>
      <c r="V216" s="208">
        <f>ROUND((K216*I213+1.3*K216*M213+R216*F213),4)</f>
        <v>13.41</v>
      </c>
      <c r="W216" s="208">
        <f>ROUND((L216*0.9*I213+1.3*L216*0.9*M213+R216*F213),4)</f>
        <v>14.193</v>
      </c>
      <c r="X216" s="208">
        <f>ROUND((L216*I213+1.3*M213+R216*F213),4)</f>
        <v>21.94</v>
      </c>
      <c r="Y216" s="404">
        <f>ROUND((O213*S216*E213*N213/1000000),4)</f>
        <v>0</v>
      </c>
      <c r="Z216" s="404">
        <f>ROUND((P213*T216*E213*N213/1000000),4)</f>
        <v>5.1999999999999998E-3</v>
      </c>
      <c r="AA216" s="404">
        <f>ROUND((Q213*U216*E213*N213/1000000),4)</f>
        <v>1.14E-2</v>
      </c>
      <c r="AB216" s="937" t="s">
        <v>177</v>
      </c>
      <c r="AC216" s="938" t="s">
        <v>178</v>
      </c>
      <c r="AD216" s="939">
        <f>ROUND((((W216*D213)/1800)),4)</f>
        <v>7.9000000000000008E-3</v>
      </c>
      <c r="AE216" s="939">
        <f>ROUND(((Y216+Z216+AA216)),4)</f>
        <v>1.66E-2</v>
      </c>
      <c r="AF216" s="61"/>
      <c r="AG216" s="61"/>
      <c r="AH216" s="61"/>
      <c r="AI216" s="61"/>
    </row>
    <row r="217" spans="1:35" s="417" customFormat="1" ht="15" customHeight="1" x14ac:dyDescent="0.2">
      <c r="A217" s="562"/>
      <c r="B217" s="414"/>
      <c r="C217" s="414"/>
      <c r="D217" s="400"/>
      <c r="E217" s="400"/>
      <c r="F217" s="400"/>
      <c r="G217" s="400"/>
      <c r="H217" s="400"/>
      <c r="I217" s="400"/>
      <c r="J217" s="400"/>
      <c r="K217" s="400">
        <v>0.27</v>
      </c>
      <c r="L217" s="400">
        <v>0.41</v>
      </c>
      <c r="M217" s="400"/>
      <c r="N217" s="400"/>
      <c r="O217" s="400"/>
      <c r="P217" s="400"/>
      <c r="Q217" s="400"/>
      <c r="R217" s="482">
        <v>0.06</v>
      </c>
      <c r="S217" s="208">
        <f>ROUND((K217*H213+1.3*K217*J213+R217*G213),4)</f>
        <v>94.522499999999994</v>
      </c>
      <c r="T217" s="208">
        <f>ROUND((L217*0.9*H213+1.3*L217*0.9*J213+R217*G213),4)</f>
        <v>127.8608</v>
      </c>
      <c r="U217" s="208">
        <f>ROUND((L217*H213+1.3*L217*J213+R217*G213),4)</f>
        <v>141.66749999999999</v>
      </c>
      <c r="V217" s="208">
        <f>ROUND((K217*I213+1.3*K217*M213+R217*F213),4)</f>
        <v>7.65</v>
      </c>
      <c r="W217" s="208">
        <f>ROUND((L217*0.9*I213+1.3*L217*0.9*M213+R217*F213),4)</f>
        <v>10.323</v>
      </c>
      <c r="X217" s="208">
        <f>ROUND((L217*I213+1.3*L217*M213+R217*F213),4)</f>
        <v>11.43</v>
      </c>
      <c r="Y217" s="404">
        <f>ROUND((O213*S217*E213*N213/1000000),4)</f>
        <v>0</v>
      </c>
      <c r="Z217" s="404">
        <f>ROUND((P213*T217*E213*N213/1000000),4)</f>
        <v>3.8E-3</v>
      </c>
      <c r="AA217" s="404">
        <f>ROUND((Q213*U217*E213*N213/1000000),4)</f>
        <v>8.5000000000000006E-3</v>
      </c>
      <c r="AB217" s="937" t="s">
        <v>61</v>
      </c>
      <c r="AC217" s="938" t="s">
        <v>62</v>
      </c>
      <c r="AD217" s="939">
        <f>ROUND((((W217*D213)/1800)),4)</f>
        <v>5.7000000000000002E-3</v>
      </c>
      <c r="AE217" s="939">
        <f>ROUND(((Y217+Z217+AA217)),4)</f>
        <v>1.23E-2</v>
      </c>
      <c r="AF217" s="61"/>
      <c r="AG217" s="61"/>
      <c r="AH217" s="61"/>
      <c r="AI217" s="61"/>
    </row>
    <row r="218" spans="1:35" s="417" customFormat="1" ht="15" customHeight="1" x14ac:dyDescent="0.2">
      <c r="A218" s="513"/>
      <c r="B218" s="416"/>
      <c r="C218" s="416"/>
      <c r="D218" s="401"/>
      <c r="E218" s="401"/>
      <c r="F218" s="401"/>
      <c r="G218" s="401"/>
      <c r="H218" s="401"/>
      <c r="I218" s="401"/>
      <c r="J218" s="401"/>
      <c r="K218" s="401">
        <v>1.29</v>
      </c>
      <c r="L218" s="401">
        <v>1.57</v>
      </c>
      <c r="M218" s="401"/>
      <c r="N218" s="401"/>
      <c r="O218" s="401"/>
      <c r="P218" s="401"/>
      <c r="Q218" s="401"/>
      <c r="R218" s="482">
        <v>2.4</v>
      </c>
      <c r="S218" s="175">
        <f>ROUND((K218*H213+1.3*K218*J213+R218*G213),4)</f>
        <v>578.40750000000003</v>
      </c>
      <c r="T218" s="175">
        <f>ROUND((L218*0.9*H213+1.3*L218*0.9*J213+R218*G213),4)</f>
        <v>619.82780000000002</v>
      </c>
      <c r="U218" s="175">
        <f>ROUND((L218*H213+1.3*L218*J213+R218*G213),4)</f>
        <v>672.69749999999999</v>
      </c>
      <c r="V218" s="175">
        <f>ROUND((K218*I213+1.3*K218*M213+R218*F213),4)</f>
        <v>49.23</v>
      </c>
      <c r="W218" s="175">
        <f>ROUND((L218*0.9*I213+1.3*L218*0.9*M213+R218*F213),4)</f>
        <v>52.551000000000002</v>
      </c>
      <c r="X218" s="175">
        <f>ROUND((L218*I213+1.3*L218*M213+R218*F213),4)</f>
        <v>56.79</v>
      </c>
      <c r="Y218" s="489">
        <f>ROUND((O213*S218*E213*N213/1000000),4)</f>
        <v>0</v>
      </c>
      <c r="Z218" s="489">
        <f>ROUND((P213*T218*E213*N213/1000000),4)</f>
        <v>1.8599999999999998E-2</v>
      </c>
      <c r="AA218" s="489">
        <f>ROUND((Q213*U218*E213*N213/1000000),4)</f>
        <v>4.0399999999999998E-2</v>
      </c>
      <c r="AB218" s="937" t="s">
        <v>65</v>
      </c>
      <c r="AC218" s="938" t="s">
        <v>66</v>
      </c>
      <c r="AD218" s="939">
        <f>ROUND((((W218*D213)/1800)),4)</f>
        <v>2.92E-2</v>
      </c>
      <c r="AE218" s="939">
        <f>ROUND(((Y218+Z218+AA218)),4)</f>
        <v>5.8999999999999997E-2</v>
      </c>
      <c r="AF218" s="61">
        <f>SUM(AD213:AD218)</f>
        <v>8.2100000000000006E-2</v>
      </c>
      <c r="AG218" s="61">
        <f>SUM(AE213:AE218)</f>
        <v>0.16720000000000002</v>
      </c>
      <c r="AH218" s="61"/>
      <c r="AI218" s="61"/>
    </row>
    <row r="219" spans="1:35" s="417" customFormat="1" ht="15" customHeight="1" x14ac:dyDescent="0.2">
      <c r="A219" s="1284" t="s">
        <v>729</v>
      </c>
      <c r="B219" s="1437"/>
      <c r="C219" s="1438"/>
      <c r="D219" s="1438"/>
      <c r="E219" s="1438"/>
      <c r="F219" s="1438"/>
      <c r="G219" s="1438"/>
      <c r="H219" s="1438"/>
      <c r="I219" s="1438"/>
      <c r="J219" s="1438"/>
      <c r="K219" s="1438"/>
      <c r="L219" s="1438"/>
      <c r="M219" s="1438"/>
      <c r="N219" s="1438"/>
      <c r="O219" s="1438"/>
      <c r="P219" s="1438"/>
      <c r="Q219" s="1438"/>
      <c r="R219" s="1438"/>
      <c r="S219" s="1438"/>
      <c r="T219" s="1438"/>
      <c r="U219" s="1438"/>
      <c r="V219" s="1438"/>
      <c r="W219" s="1438"/>
      <c r="X219" s="1438"/>
      <c r="Y219" s="1438"/>
      <c r="Z219" s="1438"/>
      <c r="AA219" s="1438"/>
      <c r="AB219" s="1438"/>
      <c r="AC219" s="1438"/>
      <c r="AD219" s="1438"/>
      <c r="AE219" s="1439"/>
      <c r="AF219" s="61"/>
      <c r="AG219" s="61"/>
      <c r="AH219" s="61"/>
      <c r="AI219" s="61"/>
    </row>
    <row r="220" spans="1:35" s="417" customFormat="1" ht="15" customHeight="1" x14ac:dyDescent="0.2">
      <c r="A220" s="560" t="s">
        <v>529</v>
      </c>
      <c r="B220" s="486" t="s">
        <v>343</v>
      </c>
      <c r="C220" s="413">
        <v>4</v>
      </c>
      <c r="D220" s="381">
        <v>1</v>
      </c>
      <c r="E220" s="381">
        <v>1</v>
      </c>
      <c r="F220" s="381">
        <v>6</v>
      </c>
      <c r="G220" s="381">
        <v>60</v>
      </c>
      <c r="H220" s="381">
        <f>(8-1-0.75*2)*60*E220-J220-8*0.12*60</f>
        <v>57.900000000000006</v>
      </c>
      <c r="I220" s="381">
        <v>14</v>
      </c>
      <c r="J220" s="381">
        <f>(8-1-0.75*2)*0.65*60*E220</f>
        <v>214.5</v>
      </c>
      <c r="K220" s="381">
        <v>2.4700000000000002</v>
      </c>
      <c r="L220" s="381">
        <v>2.4700000000000002</v>
      </c>
      <c r="M220" s="381">
        <v>10</v>
      </c>
      <c r="N220" s="381">
        <f>D220/E220</f>
        <v>1</v>
      </c>
      <c r="O220" s="485">
        <v>0</v>
      </c>
      <c r="P220" s="485">
        <v>30</v>
      </c>
      <c r="Q220" s="483">
        <v>60</v>
      </c>
      <c r="R220" s="381">
        <v>0.48</v>
      </c>
      <c r="S220" s="208">
        <f>ROUND((K220*H220+1.3*K220*J220+R220*G220),4)</f>
        <v>860.57249999999999</v>
      </c>
      <c r="T220" s="208">
        <f>ROUND((L220*H220+1.3*L220*J220+R220*G220),4)</f>
        <v>860.57249999999999</v>
      </c>
      <c r="U220" s="208">
        <f>ROUND((L220*H220+1.3*L220*J220+R220*G220),4)</f>
        <v>860.57249999999999</v>
      </c>
      <c r="V220" s="208">
        <f>ROUND((K220*I220+1.3*K220*M220+R220*F220),4)</f>
        <v>69.569999999999993</v>
      </c>
      <c r="W220" s="208">
        <f>ROUND((L220*I220+1.3*L220*M220+R220*F220),4)</f>
        <v>69.569999999999993</v>
      </c>
      <c r="X220" s="208">
        <f>ROUND((L220*I220+1.3*L220*M220+R220*F220),4)</f>
        <v>69.569999999999993</v>
      </c>
      <c r="Y220" s="404">
        <f>ROUND((O220*S220*E220*N220/1000000),4)</f>
        <v>0</v>
      </c>
      <c r="Z220" s="404">
        <f>ROUND((P220*T220*E220*N220/1000000),4)</f>
        <v>2.58E-2</v>
      </c>
      <c r="AA220" s="404">
        <f>ROUND((Q220*U220*E220*N220/1000000),4)</f>
        <v>5.16E-2</v>
      </c>
      <c r="AB220" s="937" t="s">
        <v>48</v>
      </c>
      <c r="AC220" s="938" t="s">
        <v>49</v>
      </c>
      <c r="AD220" s="939">
        <f>ROUND((((W220*D220)/1800)*0.8),4)</f>
        <v>3.09E-2</v>
      </c>
      <c r="AE220" s="939">
        <f>ROUND(((Y220+Z220+AA220)*0.8),4)</f>
        <v>6.1899999999999997E-2</v>
      </c>
      <c r="AF220" s="61"/>
      <c r="AG220" s="61"/>
      <c r="AH220" s="61"/>
      <c r="AI220" s="61"/>
    </row>
    <row r="221" spans="1:35" s="417" customFormat="1" ht="15" customHeight="1" x14ac:dyDescent="0.2">
      <c r="A221" s="561" t="s">
        <v>166</v>
      </c>
      <c r="B221" s="487" t="s">
        <v>359</v>
      </c>
      <c r="C221" s="414"/>
      <c r="D221" s="400"/>
      <c r="E221" s="400"/>
      <c r="F221" s="400"/>
      <c r="G221" s="400"/>
      <c r="H221" s="400"/>
      <c r="I221" s="400"/>
      <c r="J221" s="400"/>
      <c r="K221" s="400"/>
      <c r="L221" s="400"/>
      <c r="M221" s="400"/>
      <c r="N221" s="400"/>
      <c r="O221" s="400"/>
      <c r="P221" s="400"/>
      <c r="Q221" s="400"/>
      <c r="R221" s="488"/>
      <c r="S221" s="407"/>
      <c r="T221" s="407"/>
      <c r="U221" s="407"/>
      <c r="V221" s="407"/>
      <c r="W221" s="407"/>
      <c r="X221" s="407"/>
      <c r="Y221" s="407"/>
      <c r="Z221" s="407"/>
      <c r="AA221" s="407"/>
      <c r="AB221" s="937" t="s">
        <v>51</v>
      </c>
      <c r="AC221" s="938" t="s">
        <v>52</v>
      </c>
      <c r="AD221" s="939">
        <f>ROUND((((W220*D220)/1800)*0.13),4)</f>
        <v>5.0000000000000001E-3</v>
      </c>
      <c r="AE221" s="939">
        <f>ROUND(((Y220+Z220+AA220)*0.13),4)</f>
        <v>1.01E-2</v>
      </c>
      <c r="AF221" s="61"/>
      <c r="AG221" s="61"/>
      <c r="AH221" s="61"/>
      <c r="AI221" s="61"/>
    </row>
    <row r="222" spans="1:35" s="417" customFormat="1" ht="15" customHeight="1" x14ac:dyDescent="0.2">
      <c r="A222" s="562"/>
      <c r="B222" s="414" t="s">
        <v>360</v>
      </c>
      <c r="C222" s="415"/>
      <c r="D222" s="400"/>
      <c r="E222" s="400"/>
      <c r="F222" s="400"/>
      <c r="G222" s="400"/>
      <c r="H222" s="400"/>
      <c r="I222" s="400"/>
      <c r="J222" s="400"/>
      <c r="K222" s="400">
        <v>0.19</v>
      </c>
      <c r="L222" s="400">
        <v>0.23</v>
      </c>
      <c r="M222" s="400"/>
      <c r="N222" s="400"/>
      <c r="O222" s="400"/>
      <c r="P222" s="400"/>
      <c r="Q222" s="400"/>
      <c r="R222" s="482">
        <v>9.7000000000000003E-2</v>
      </c>
      <c r="S222" s="208">
        <f>ROUND((K222*H220+1.3*K222*J220+R222*G220),4)</f>
        <v>69.802499999999995</v>
      </c>
      <c r="T222" s="208">
        <f>ROUND((L222*0.9*H220+1.3*L222*0.9*J220+R222*G220),4)</f>
        <v>75.527299999999997</v>
      </c>
      <c r="U222" s="208">
        <f>ROUND((L222*H220+1.3*L222*J220+R222*G220),4)</f>
        <v>83.272499999999994</v>
      </c>
      <c r="V222" s="208">
        <f>ROUND((K222*I220+1.3*K222*M220+R222*F220),4)</f>
        <v>5.7119999999999997</v>
      </c>
      <c r="W222" s="208">
        <f>ROUND((L222*0.9*I220+1.3*L222*0.9*M220+R222*F220),4)</f>
        <v>6.1710000000000003</v>
      </c>
      <c r="X222" s="208">
        <f>ROUND((L222*I220+1.3*L222*M220+R222*F220),4)</f>
        <v>6.7919999999999998</v>
      </c>
      <c r="Y222" s="404">
        <f>ROUND((O220*S222*E220*N220/1000000),4)</f>
        <v>0</v>
      </c>
      <c r="Z222" s="404">
        <f>ROUND((P220*T222*E220*N220/1000000),4)</f>
        <v>2.3E-3</v>
      </c>
      <c r="AA222" s="404">
        <f>ROUND((Q220*U222*E220*N220/1000000),4)</f>
        <v>5.0000000000000001E-3</v>
      </c>
      <c r="AB222" s="937" t="s">
        <v>56</v>
      </c>
      <c r="AC222" s="938" t="s">
        <v>57</v>
      </c>
      <c r="AD222" s="939">
        <f>ROUND((((W222*D220)/1800)),4)</f>
        <v>3.3999999999999998E-3</v>
      </c>
      <c r="AE222" s="939">
        <f>ROUND(((Y222+Z222+AA222)),5)</f>
        <v>7.3000000000000001E-3</v>
      </c>
      <c r="AF222" s="61"/>
      <c r="AG222" s="61"/>
      <c r="AH222" s="61"/>
      <c r="AI222" s="61"/>
    </row>
    <row r="223" spans="1:35" s="417" customFormat="1" ht="15" customHeight="1" x14ac:dyDescent="0.2">
      <c r="A223" s="562"/>
      <c r="B223" s="414"/>
      <c r="C223" s="414"/>
      <c r="D223" s="400"/>
      <c r="E223" s="400"/>
      <c r="F223" s="400"/>
      <c r="G223" s="400"/>
      <c r="H223" s="400"/>
      <c r="I223" s="400"/>
      <c r="J223" s="400"/>
      <c r="K223" s="400">
        <v>0.43</v>
      </c>
      <c r="L223" s="400">
        <v>0.51</v>
      </c>
      <c r="M223" s="400"/>
      <c r="N223" s="400"/>
      <c r="O223" s="400"/>
      <c r="P223" s="400"/>
      <c r="Q223" s="400"/>
      <c r="R223" s="482">
        <v>0.3</v>
      </c>
      <c r="S223" s="208">
        <f>ROUND((K223*H220+1.3*K223*J220+R223*G220),4)</f>
        <v>162.80250000000001</v>
      </c>
      <c r="T223" s="208">
        <f>ROUND((L223*0.9*H220+1.3*L223*0.9*J220+R223*G220),4)</f>
        <v>172.56829999999999</v>
      </c>
      <c r="U223" s="208">
        <f>ROUND((L223*H220+1.3*L223*J220+R223*G220),4)</f>
        <v>189.74250000000001</v>
      </c>
      <c r="V223" s="208">
        <f>ROUND((K223*I220+1.3*K223*M220+R223*F220),4)</f>
        <v>13.41</v>
      </c>
      <c r="W223" s="208">
        <f>ROUND((L223*0.9*I220+1.3*L223*0.9*M220+R223*F220),4)</f>
        <v>14.193</v>
      </c>
      <c r="X223" s="208">
        <f>ROUND((L223*I220+1.3*M220+R223*F220),4)</f>
        <v>21.94</v>
      </c>
      <c r="Y223" s="404">
        <f>ROUND((O220*S223*E220*N220/1000000),4)</f>
        <v>0</v>
      </c>
      <c r="Z223" s="404">
        <f>ROUND((P220*T223*E220*N220/1000000),4)</f>
        <v>5.1999999999999998E-3</v>
      </c>
      <c r="AA223" s="404">
        <f>ROUND((Q220*U223*E220*N220/1000000),4)</f>
        <v>1.14E-2</v>
      </c>
      <c r="AB223" s="937" t="s">
        <v>177</v>
      </c>
      <c r="AC223" s="938" t="s">
        <v>178</v>
      </c>
      <c r="AD223" s="939">
        <f>ROUND((((W223*D220)/1800)),4)</f>
        <v>7.9000000000000008E-3</v>
      </c>
      <c r="AE223" s="939">
        <f>ROUND(((Y223+Z223+AA223)),4)</f>
        <v>1.66E-2</v>
      </c>
      <c r="AF223" s="61"/>
      <c r="AG223" s="61"/>
      <c r="AH223" s="61"/>
      <c r="AI223" s="61"/>
    </row>
    <row r="224" spans="1:35" s="417" customFormat="1" ht="15" customHeight="1" x14ac:dyDescent="0.2">
      <c r="A224" s="562"/>
      <c r="B224" s="414"/>
      <c r="C224" s="414"/>
      <c r="D224" s="400"/>
      <c r="E224" s="400"/>
      <c r="F224" s="400"/>
      <c r="G224" s="400"/>
      <c r="H224" s="400"/>
      <c r="I224" s="400"/>
      <c r="J224" s="400"/>
      <c r="K224" s="400">
        <v>0.27</v>
      </c>
      <c r="L224" s="400">
        <v>0.41</v>
      </c>
      <c r="M224" s="400"/>
      <c r="N224" s="400"/>
      <c r="O224" s="400"/>
      <c r="P224" s="400"/>
      <c r="Q224" s="400"/>
      <c r="R224" s="482">
        <v>0.06</v>
      </c>
      <c r="S224" s="208">
        <f>ROUND((K224*H220+1.3*K224*J220+R224*G220),4)</f>
        <v>94.522499999999994</v>
      </c>
      <c r="T224" s="208">
        <f>ROUND((L224*0.9*H220+1.3*L224*0.9*J220+R224*G220),4)</f>
        <v>127.8608</v>
      </c>
      <c r="U224" s="208">
        <f>ROUND((L224*H220+1.3*L224*J220+R224*G220),4)</f>
        <v>141.66749999999999</v>
      </c>
      <c r="V224" s="208">
        <f>ROUND((K224*I220+1.3*K224*M220+R224*F220),4)</f>
        <v>7.65</v>
      </c>
      <c r="W224" s="208">
        <f>ROUND((L224*0.9*I220+1.3*L224*0.9*M220+R224*F220),4)</f>
        <v>10.323</v>
      </c>
      <c r="X224" s="208">
        <f>ROUND((L224*I220+1.3*L224*M220+R224*F220),4)</f>
        <v>11.43</v>
      </c>
      <c r="Y224" s="404">
        <f>ROUND((O220*S224*E220*N220/1000000),4)</f>
        <v>0</v>
      </c>
      <c r="Z224" s="404">
        <f>ROUND((P220*T224*E220*N220/1000000),4)</f>
        <v>3.8E-3</v>
      </c>
      <c r="AA224" s="404">
        <f>ROUND((Q220*U224*E220*N220/1000000),4)</f>
        <v>8.5000000000000006E-3</v>
      </c>
      <c r="AB224" s="937" t="s">
        <v>61</v>
      </c>
      <c r="AC224" s="938" t="s">
        <v>62</v>
      </c>
      <c r="AD224" s="939">
        <f>ROUND((((W224*D220)/1800)),4)</f>
        <v>5.7000000000000002E-3</v>
      </c>
      <c r="AE224" s="939">
        <f>ROUND(((Y224+Z224+AA224)),4)</f>
        <v>1.23E-2</v>
      </c>
      <c r="AF224" s="61"/>
      <c r="AG224" s="61"/>
      <c r="AH224" s="61"/>
      <c r="AI224" s="61"/>
    </row>
    <row r="225" spans="1:35" s="417" customFormat="1" ht="15" customHeight="1" x14ac:dyDescent="0.2">
      <c r="A225" s="513"/>
      <c r="B225" s="416"/>
      <c r="C225" s="416"/>
      <c r="D225" s="401"/>
      <c r="E225" s="401"/>
      <c r="F225" s="401"/>
      <c r="G225" s="401"/>
      <c r="H225" s="401"/>
      <c r="I225" s="401"/>
      <c r="J225" s="401"/>
      <c r="K225" s="401">
        <v>1.29</v>
      </c>
      <c r="L225" s="401">
        <v>1.57</v>
      </c>
      <c r="M225" s="401"/>
      <c r="N225" s="401"/>
      <c r="O225" s="401"/>
      <c r="P225" s="401"/>
      <c r="Q225" s="401"/>
      <c r="R225" s="482">
        <v>2.4</v>
      </c>
      <c r="S225" s="175">
        <f>ROUND((K225*H220+1.3*K225*J220+R225*G220),4)</f>
        <v>578.40750000000003</v>
      </c>
      <c r="T225" s="175">
        <f>ROUND((L225*0.9*H220+1.3*L225*0.9*J220+R225*G220),4)</f>
        <v>619.82780000000002</v>
      </c>
      <c r="U225" s="175">
        <f>ROUND((L225*H220+1.3*L225*J220+R225*G220),4)</f>
        <v>672.69749999999999</v>
      </c>
      <c r="V225" s="175">
        <f>ROUND((K225*I220+1.3*K225*M220+R225*F220),4)</f>
        <v>49.23</v>
      </c>
      <c r="W225" s="175">
        <f>ROUND((L225*0.9*I220+1.3*L225*0.9*M220+R225*F220),4)</f>
        <v>52.551000000000002</v>
      </c>
      <c r="X225" s="175">
        <f>ROUND((L225*I220+1.3*L225*M220+R225*F220),4)</f>
        <v>56.79</v>
      </c>
      <c r="Y225" s="489">
        <f>ROUND((O220*S225*E220*N220/1000000),4)</f>
        <v>0</v>
      </c>
      <c r="Z225" s="489">
        <f>ROUND((P220*T225*E220*N220/1000000),4)</f>
        <v>1.8599999999999998E-2</v>
      </c>
      <c r="AA225" s="489">
        <f>ROUND((Q220*U225*E220*N220/1000000),4)</f>
        <v>4.0399999999999998E-2</v>
      </c>
      <c r="AB225" s="937" t="s">
        <v>65</v>
      </c>
      <c r="AC225" s="938" t="s">
        <v>66</v>
      </c>
      <c r="AD225" s="939">
        <f>ROUND((((W225*D220)/1800)),4)</f>
        <v>2.92E-2</v>
      </c>
      <c r="AE225" s="939">
        <f>ROUND(((Y225+Z225+AA225)),4)</f>
        <v>5.8999999999999997E-2</v>
      </c>
      <c r="AF225" s="61">
        <f>SUM(AD220:AD225)</f>
        <v>8.2100000000000006E-2</v>
      </c>
      <c r="AG225" s="61">
        <f>SUM(AE220:AE225)</f>
        <v>0.16720000000000002</v>
      </c>
      <c r="AH225" s="61"/>
      <c r="AI225" s="61"/>
    </row>
    <row r="226" spans="1:35" s="417" customFormat="1" ht="15" customHeight="1" x14ac:dyDescent="0.2">
      <c r="A226" s="1284" t="s">
        <v>561</v>
      </c>
      <c r="B226" s="1437"/>
      <c r="C226" s="1438"/>
      <c r="D226" s="1438"/>
      <c r="E226" s="1438"/>
      <c r="F226" s="1438"/>
      <c r="G226" s="1438"/>
      <c r="H226" s="1438"/>
      <c r="I226" s="1438"/>
      <c r="J226" s="1438"/>
      <c r="K226" s="1438"/>
      <c r="L226" s="1438"/>
      <c r="M226" s="1438"/>
      <c r="N226" s="1438"/>
      <c r="O226" s="1438"/>
      <c r="P226" s="1438"/>
      <c r="Q226" s="1438"/>
      <c r="R226" s="1438"/>
      <c r="S226" s="1438"/>
      <c r="T226" s="1438"/>
      <c r="U226" s="1438"/>
      <c r="V226" s="1438"/>
      <c r="W226" s="1438"/>
      <c r="X226" s="1438"/>
      <c r="Y226" s="1438"/>
      <c r="Z226" s="1438"/>
      <c r="AA226" s="1438"/>
      <c r="AB226" s="1438"/>
      <c r="AC226" s="1438"/>
      <c r="AD226" s="1438"/>
      <c r="AE226" s="1439"/>
      <c r="AF226" s="61"/>
      <c r="AG226" s="61"/>
      <c r="AH226" s="61"/>
      <c r="AI226" s="61"/>
    </row>
    <row r="227" spans="1:35" s="417" customFormat="1" ht="15" customHeight="1" x14ac:dyDescent="0.2">
      <c r="A227" s="560" t="s">
        <v>532</v>
      </c>
      <c r="B227" s="486" t="s">
        <v>343</v>
      </c>
      <c r="C227" s="413">
        <v>4</v>
      </c>
      <c r="D227" s="381">
        <v>1</v>
      </c>
      <c r="E227" s="381">
        <v>1</v>
      </c>
      <c r="F227" s="381">
        <v>6</v>
      </c>
      <c r="G227" s="381">
        <v>60</v>
      </c>
      <c r="H227" s="381">
        <f>(8-1-0.75*2)*60*E227-J227-8*0.12*60</f>
        <v>57.900000000000006</v>
      </c>
      <c r="I227" s="381">
        <v>14</v>
      </c>
      <c r="J227" s="381">
        <f>(8-1-0.75*2)*0.65*60*E227</f>
        <v>214.5</v>
      </c>
      <c r="K227" s="381">
        <v>2.4700000000000002</v>
      </c>
      <c r="L227" s="381">
        <v>2.4700000000000002</v>
      </c>
      <c r="M227" s="381">
        <v>10</v>
      </c>
      <c r="N227" s="381">
        <f>D227/E227</f>
        <v>1</v>
      </c>
      <c r="O227" s="485">
        <v>0</v>
      </c>
      <c r="P227" s="485">
        <v>30</v>
      </c>
      <c r="Q227" s="483">
        <v>60</v>
      </c>
      <c r="R227" s="381">
        <v>0.48</v>
      </c>
      <c r="S227" s="208">
        <f>ROUND((K227*H227+1.3*K227*J227+R227*G227),4)</f>
        <v>860.57249999999999</v>
      </c>
      <c r="T227" s="208">
        <f>ROUND((L227*H227+1.3*L227*J227+R227*G227),4)</f>
        <v>860.57249999999999</v>
      </c>
      <c r="U227" s="208">
        <f>ROUND((L227*H227+1.3*L227*J227+R227*G227),4)</f>
        <v>860.57249999999999</v>
      </c>
      <c r="V227" s="208">
        <f>ROUND((K227*I227+1.3*K227*M227+R227*F227),4)</f>
        <v>69.569999999999993</v>
      </c>
      <c r="W227" s="208">
        <f>ROUND((L227*I227+1.3*L227*M227+R227*F227),4)</f>
        <v>69.569999999999993</v>
      </c>
      <c r="X227" s="208">
        <f>ROUND((L227*I227+1.3*L227*M227+R227*F227),4)</f>
        <v>69.569999999999993</v>
      </c>
      <c r="Y227" s="404">
        <f>ROUND((O227*S227*E227*N227/1000000),4)</f>
        <v>0</v>
      </c>
      <c r="Z227" s="404">
        <f>ROUND((P227*T227*E227*N227/1000000),4)</f>
        <v>2.58E-2</v>
      </c>
      <c r="AA227" s="404">
        <f>ROUND((Q227*U227*E227*N227/1000000),4)</f>
        <v>5.16E-2</v>
      </c>
      <c r="AB227" s="937" t="s">
        <v>48</v>
      </c>
      <c r="AC227" s="938" t="s">
        <v>49</v>
      </c>
      <c r="AD227" s="939">
        <f>ROUND((((W227*D227)/1800)*0.8),4)</f>
        <v>3.09E-2</v>
      </c>
      <c r="AE227" s="939">
        <f>ROUND(((Y227+Z227+AA227)*0.8),4)</f>
        <v>6.1899999999999997E-2</v>
      </c>
      <c r="AF227" s="61"/>
      <c r="AG227" s="61"/>
      <c r="AH227" s="61"/>
      <c r="AI227" s="61"/>
    </row>
    <row r="228" spans="1:35" s="417" customFormat="1" ht="15" customHeight="1" x14ac:dyDescent="0.2">
      <c r="A228" s="561" t="s">
        <v>492</v>
      </c>
      <c r="B228" s="487" t="s">
        <v>359</v>
      </c>
      <c r="C228" s="414"/>
      <c r="D228" s="400"/>
      <c r="E228" s="400"/>
      <c r="F228" s="400"/>
      <c r="G228" s="400"/>
      <c r="H228" s="400"/>
      <c r="I228" s="400"/>
      <c r="J228" s="400"/>
      <c r="K228" s="400"/>
      <c r="L228" s="400"/>
      <c r="M228" s="400"/>
      <c r="N228" s="400"/>
      <c r="O228" s="400"/>
      <c r="P228" s="400"/>
      <c r="Q228" s="400"/>
      <c r="R228" s="488"/>
      <c r="S228" s="407"/>
      <c r="T228" s="407"/>
      <c r="U228" s="407"/>
      <c r="V228" s="407"/>
      <c r="W228" s="407"/>
      <c r="X228" s="407"/>
      <c r="Y228" s="407"/>
      <c r="Z228" s="407"/>
      <c r="AA228" s="407"/>
      <c r="AB228" s="937" t="s">
        <v>51</v>
      </c>
      <c r="AC228" s="938" t="s">
        <v>52</v>
      </c>
      <c r="AD228" s="939">
        <f>ROUND((((W227*D227)/1800)*0.13),4)</f>
        <v>5.0000000000000001E-3</v>
      </c>
      <c r="AE228" s="939">
        <f>ROUND(((Y227+Z227+AA227)*0.13),4)</f>
        <v>1.01E-2</v>
      </c>
      <c r="AF228" s="61"/>
      <c r="AG228" s="61"/>
      <c r="AH228" s="61"/>
      <c r="AI228" s="61"/>
    </row>
    <row r="229" spans="1:35" s="417" customFormat="1" ht="15" customHeight="1" x14ac:dyDescent="0.2">
      <c r="A229" s="562"/>
      <c r="B229" s="414" t="s">
        <v>360</v>
      </c>
      <c r="C229" s="415"/>
      <c r="D229" s="400"/>
      <c r="E229" s="400"/>
      <c r="F229" s="400"/>
      <c r="G229" s="400"/>
      <c r="H229" s="400"/>
      <c r="I229" s="400"/>
      <c r="J229" s="400"/>
      <c r="K229" s="400">
        <v>0.19</v>
      </c>
      <c r="L229" s="400">
        <v>0.23</v>
      </c>
      <c r="M229" s="400"/>
      <c r="N229" s="400"/>
      <c r="O229" s="400"/>
      <c r="P229" s="400"/>
      <c r="Q229" s="400"/>
      <c r="R229" s="482">
        <v>9.7000000000000003E-2</v>
      </c>
      <c r="S229" s="208">
        <f>ROUND((K229*H227+1.3*K229*J227+R229*G227),4)</f>
        <v>69.802499999999995</v>
      </c>
      <c r="T229" s="208">
        <f>ROUND((L229*0.9*H227+1.3*L229*0.9*J227+R229*G227),4)</f>
        <v>75.527299999999997</v>
      </c>
      <c r="U229" s="208">
        <f>ROUND((L229*H227+1.3*L229*J227+R229*G227),4)</f>
        <v>83.272499999999994</v>
      </c>
      <c r="V229" s="208">
        <f>ROUND((K229*I227+1.3*K229*M227+R229*F227),4)</f>
        <v>5.7119999999999997</v>
      </c>
      <c r="W229" s="208">
        <f>ROUND((L229*0.9*I227+1.3*L229*0.9*M227+R229*F227),4)</f>
        <v>6.1710000000000003</v>
      </c>
      <c r="X229" s="208">
        <f>ROUND((L229*I227+1.3*L229*M227+R229*F227),4)</f>
        <v>6.7919999999999998</v>
      </c>
      <c r="Y229" s="404">
        <f>ROUND((O227*S229*E227*N227/1000000),4)</f>
        <v>0</v>
      </c>
      <c r="Z229" s="404">
        <f>ROUND((P227*T229*E227*N227/1000000),4)</f>
        <v>2.3E-3</v>
      </c>
      <c r="AA229" s="404">
        <f>ROUND((Q227*U229*E227*N227/1000000),4)</f>
        <v>5.0000000000000001E-3</v>
      </c>
      <c r="AB229" s="937" t="s">
        <v>56</v>
      </c>
      <c r="AC229" s="938" t="s">
        <v>57</v>
      </c>
      <c r="AD229" s="939">
        <f>ROUND((((W229*D227)/1800)),4)</f>
        <v>3.3999999999999998E-3</v>
      </c>
      <c r="AE229" s="939">
        <f>ROUND(((Y229+Z229+AA229)),5)</f>
        <v>7.3000000000000001E-3</v>
      </c>
      <c r="AF229" s="61"/>
      <c r="AG229" s="61"/>
      <c r="AH229" s="61"/>
      <c r="AI229" s="61"/>
    </row>
    <row r="230" spans="1:35" s="417" customFormat="1" ht="15" customHeight="1" x14ac:dyDescent="0.2">
      <c r="A230" s="562"/>
      <c r="B230" s="414"/>
      <c r="C230" s="414"/>
      <c r="D230" s="400"/>
      <c r="E230" s="400"/>
      <c r="F230" s="400"/>
      <c r="G230" s="400"/>
      <c r="H230" s="400"/>
      <c r="I230" s="400"/>
      <c r="J230" s="400"/>
      <c r="K230" s="400">
        <v>0.43</v>
      </c>
      <c r="L230" s="400">
        <v>0.51</v>
      </c>
      <c r="M230" s="400"/>
      <c r="N230" s="400"/>
      <c r="O230" s="400"/>
      <c r="P230" s="400"/>
      <c r="Q230" s="400"/>
      <c r="R230" s="482">
        <v>0.3</v>
      </c>
      <c r="S230" s="208">
        <f>ROUND((K230*H227+1.3*K230*J227+R230*G227),4)</f>
        <v>162.80250000000001</v>
      </c>
      <c r="T230" s="208">
        <f>ROUND((L230*0.9*H227+1.3*L230*0.9*J227+R230*G227),4)</f>
        <v>172.56829999999999</v>
      </c>
      <c r="U230" s="208">
        <f>ROUND((L230*H227+1.3*L230*J227+R230*G227),4)</f>
        <v>189.74250000000001</v>
      </c>
      <c r="V230" s="208">
        <f>ROUND((K230*I227+1.3*K230*M227+R230*F227),4)</f>
        <v>13.41</v>
      </c>
      <c r="W230" s="208">
        <f>ROUND((L230*0.9*I227+1.3*L230*0.9*M227+R230*F227),4)</f>
        <v>14.193</v>
      </c>
      <c r="X230" s="208">
        <f>ROUND((L230*I227+1.3*M227+R230*F227),4)</f>
        <v>21.94</v>
      </c>
      <c r="Y230" s="404">
        <f>ROUND((O227*S230*E227*N227/1000000),4)</f>
        <v>0</v>
      </c>
      <c r="Z230" s="404">
        <f>ROUND((P227*T230*E227*N227/1000000),4)</f>
        <v>5.1999999999999998E-3</v>
      </c>
      <c r="AA230" s="404">
        <f>ROUND((Q227*U230*E227*N227/1000000),4)</f>
        <v>1.14E-2</v>
      </c>
      <c r="AB230" s="937" t="s">
        <v>177</v>
      </c>
      <c r="AC230" s="938" t="s">
        <v>178</v>
      </c>
      <c r="AD230" s="939">
        <f>ROUND((((W230*D227)/1800)),4)</f>
        <v>7.9000000000000008E-3</v>
      </c>
      <c r="AE230" s="939">
        <f>ROUND(((Y230+Z230+AA230)),4)</f>
        <v>1.66E-2</v>
      </c>
      <c r="AF230" s="61"/>
      <c r="AG230" s="61"/>
      <c r="AH230" s="61"/>
      <c r="AI230" s="61"/>
    </row>
    <row r="231" spans="1:35" s="417" customFormat="1" ht="15" customHeight="1" x14ac:dyDescent="0.2">
      <c r="A231" s="562"/>
      <c r="B231" s="414"/>
      <c r="C231" s="414"/>
      <c r="D231" s="400"/>
      <c r="E231" s="400"/>
      <c r="F231" s="400"/>
      <c r="G231" s="400"/>
      <c r="H231" s="400"/>
      <c r="I231" s="400"/>
      <c r="J231" s="400"/>
      <c r="K231" s="400">
        <v>0.27</v>
      </c>
      <c r="L231" s="400">
        <v>0.41</v>
      </c>
      <c r="M231" s="400"/>
      <c r="N231" s="400"/>
      <c r="O231" s="400"/>
      <c r="P231" s="400"/>
      <c r="Q231" s="400"/>
      <c r="R231" s="482">
        <v>0.06</v>
      </c>
      <c r="S231" s="208">
        <f>ROUND((K231*H227+1.3*K231*J227+R231*G227),4)</f>
        <v>94.522499999999994</v>
      </c>
      <c r="T231" s="208">
        <f>ROUND((L231*0.9*H227+1.3*L231*0.9*J227+R231*G227),4)</f>
        <v>127.8608</v>
      </c>
      <c r="U231" s="208">
        <f>ROUND((L231*H227+1.3*L231*J227+R231*G227),4)</f>
        <v>141.66749999999999</v>
      </c>
      <c r="V231" s="208">
        <f>ROUND((K231*I227+1.3*K231*M227+R231*F227),4)</f>
        <v>7.65</v>
      </c>
      <c r="W231" s="208">
        <f>ROUND((L231*0.9*I227+1.3*L231*0.9*M227+R231*F227),4)</f>
        <v>10.323</v>
      </c>
      <c r="X231" s="208">
        <f>ROUND((L231*I227+1.3*L231*M227+R231*F227),4)</f>
        <v>11.43</v>
      </c>
      <c r="Y231" s="404">
        <f>ROUND((O227*S231*E227*N227/1000000),4)</f>
        <v>0</v>
      </c>
      <c r="Z231" s="404">
        <f>ROUND((P227*T231*E227*N227/1000000),4)</f>
        <v>3.8E-3</v>
      </c>
      <c r="AA231" s="404">
        <f>ROUND((Q227*U231*E227*N227/1000000),4)</f>
        <v>8.5000000000000006E-3</v>
      </c>
      <c r="AB231" s="937" t="s">
        <v>61</v>
      </c>
      <c r="AC231" s="938" t="s">
        <v>62</v>
      </c>
      <c r="AD231" s="939">
        <f>ROUND((((W231*D227)/1800)),4)</f>
        <v>5.7000000000000002E-3</v>
      </c>
      <c r="AE231" s="939">
        <f>ROUND(((Y231+Z231+AA231)),4)</f>
        <v>1.23E-2</v>
      </c>
      <c r="AF231" s="61"/>
      <c r="AG231" s="61"/>
      <c r="AH231" s="61"/>
      <c r="AI231" s="61"/>
    </row>
    <row r="232" spans="1:35" s="417" customFormat="1" ht="15" customHeight="1" x14ac:dyDescent="0.2">
      <c r="A232" s="513"/>
      <c r="B232" s="416"/>
      <c r="C232" s="416"/>
      <c r="D232" s="401"/>
      <c r="E232" s="401"/>
      <c r="F232" s="401"/>
      <c r="G232" s="401"/>
      <c r="H232" s="401"/>
      <c r="I232" s="401"/>
      <c r="J232" s="401"/>
      <c r="K232" s="401">
        <v>1.29</v>
      </c>
      <c r="L232" s="401">
        <v>1.57</v>
      </c>
      <c r="M232" s="401"/>
      <c r="N232" s="401"/>
      <c r="O232" s="401"/>
      <c r="P232" s="401"/>
      <c r="Q232" s="401"/>
      <c r="R232" s="482">
        <v>2.4</v>
      </c>
      <c r="S232" s="175">
        <f>ROUND((K232*H227+1.3*K232*J227+R232*G227),4)</f>
        <v>578.40750000000003</v>
      </c>
      <c r="T232" s="175">
        <f>ROUND((L232*0.9*H227+1.3*L232*0.9*J227+R232*G227),4)</f>
        <v>619.82780000000002</v>
      </c>
      <c r="U232" s="175">
        <f>ROUND((L232*H227+1.3*L232*J227+R232*G227),4)</f>
        <v>672.69749999999999</v>
      </c>
      <c r="V232" s="175">
        <f>ROUND((K232*I227+1.3*K232*M227+R232*F227),4)</f>
        <v>49.23</v>
      </c>
      <c r="W232" s="175">
        <f>ROUND((L232*0.9*I227+1.3*L232*0.9*M227+R232*F227),4)</f>
        <v>52.551000000000002</v>
      </c>
      <c r="X232" s="175">
        <f>ROUND((L232*I227+1.3*L232*M227+R232*F227),4)</f>
        <v>56.79</v>
      </c>
      <c r="Y232" s="489">
        <f>ROUND((O227*S232*E227*N227/1000000),4)</f>
        <v>0</v>
      </c>
      <c r="Z232" s="489">
        <f>ROUND((P227*T232*E227*N227/1000000),4)</f>
        <v>1.8599999999999998E-2</v>
      </c>
      <c r="AA232" s="489">
        <f>ROUND((Q227*U232*E227*N227/1000000),4)</f>
        <v>4.0399999999999998E-2</v>
      </c>
      <c r="AB232" s="937" t="s">
        <v>65</v>
      </c>
      <c r="AC232" s="938" t="s">
        <v>66</v>
      </c>
      <c r="AD232" s="939">
        <f>ROUND((((W232*D227)/1800)),4)</f>
        <v>2.92E-2</v>
      </c>
      <c r="AE232" s="939">
        <f>ROUND(((Y232+Z232+AA232)),4)</f>
        <v>5.8999999999999997E-2</v>
      </c>
      <c r="AF232" s="61">
        <f>SUM(AD227:AD232)</f>
        <v>8.2100000000000006E-2</v>
      </c>
      <c r="AG232" s="61">
        <f>SUM(AE227:AE232)</f>
        <v>0.16720000000000002</v>
      </c>
      <c r="AH232" s="61"/>
      <c r="AI232" s="61"/>
    </row>
    <row r="233" spans="1:35" s="417" customFormat="1" ht="15" customHeight="1" x14ac:dyDescent="0.2">
      <c r="A233" s="1284" t="s">
        <v>562</v>
      </c>
      <c r="B233" s="1437"/>
      <c r="C233" s="1438"/>
      <c r="D233" s="1438"/>
      <c r="E233" s="1438"/>
      <c r="F233" s="1438"/>
      <c r="G233" s="1438"/>
      <c r="H233" s="1438"/>
      <c r="I233" s="1438"/>
      <c r="J233" s="1438"/>
      <c r="K233" s="1438"/>
      <c r="L233" s="1438"/>
      <c r="M233" s="1438"/>
      <c r="N233" s="1438"/>
      <c r="O233" s="1438"/>
      <c r="P233" s="1438"/>
      <c r="Q233" s="1438"/>
      <c r="R233" s="1438"/>
      <c r="S233" s="1438"/>
      <c r="T233" s="1438"/>
      <c r="U233" s="1438"/>
      <c r="V233" s="1438"/>
      <c r="W233" s="1438"/>
      <c r="X233" s="1438"/>
      <c r="Y233" s="1438"/>
      <c r="Z233" s="1438"/>
      <c r="AA233" s="1438"/>
      <c r="AB233" s="1438"/>
      <c r="AC233" s="1438"/>
      <c r="AD233" s="1438"/>
      <c r="AE233" s="1439"/>
      <c r="AF233" s="61"/>
      <c r="AG233" s="61"/>
      <c r="AH233" s="61"/>
      <c r="AI233" s="61"/>
    </row>
    <row r="234" spans="1:35" s="417" customFormat="1" ht="15" customHeight="1" x14ac:dyDescent="0.2">
      <c r="A234" s="560" t="s">
        <v>535</v>
      </c>
      <c r="B234" s="486" t="s">
        <v>343</v>
      </c>
      <c r="C234" s="413">
        <v>4</v>
      </c>
      <c r="D234" s="381">
        <v>1</v>
      </c>
      <c r="E234" s="381">
        <v>1</v>
      </c>
      <c r="F234" s="381">
        <v>6</v>
      </c>
      <c r="G234" s="381">
        <v>60</v>
      </c>
      <c r="H234" s="381">
        <f>(8-1-0.75*2)*60*E234-J234-8*0.12*60</f>
        <v>57.900000000000006</v>
      </c>
      <c r="I234" s="381">
        <v>14</v>
      </c>
      <c r="J234" s="381">
        <f>(8-1-0.75*2)*0.65*60*E234</f>
        <v>214.5</v>
      </c>
      <c r="K234" s="381">
        <v>2.4700000000000002</v>
      </c>
      <c r="L234" s="381">
        <v>2.4700000000000002</v>
      </c>
      <c r="M234" s="381">
        <v>10</v>
      </c>
      <c r="N234" s="381">
        <f>D234/E234</f>
        <v>1</v>
      </c>
      <c r="O234" s="485">
        <v>0</v>
      </c>
      <c r="P234" s="485">
        <v>30</v>
      </c>
      <c r="Q234" s="483">
        <v>60</v>
      </c>
      <c r="R234" s="381">
        <v>0.48</v>
      </c>
      <c r="S234" s="208">
        <f>ROUND((K234*H234+1.3*K234*J234+R234*G234),4)</f>
        <v>860.57249999999999</v>
      </c>
      <c r="T234" s="208">
        <f>ROUND((L234*H234+1.3*L234*J234+R234*G234),4)</f>
        <v>860.57249999999999</v>
      </c>
      <c r="U234" s="208">
        <f>ROUND((L234*H234+1.3*L234*J234+R234*G234),4)</f>
        <v>860.57249999999999</v>
      </c>
      <c r="V234" s="208">
        <f>ROUND((K234*I234+1.3*K234*M234+R234*F234),4)</f>
        <v>69.569999999999993</v>
      </c>
      <c r="W234" s="208">
        <f>ROUND((L234*I234+1.3*L234*M234+R234*F234),4)</f>
        <v>69.569999999999993</v>
      </c>
      <c r="X234" s="208">
        <f>ROUND((L234*I234+1.3*L234*M234+R234*F234),4)</f>
        <v>69.569999999999993</v>
      </c>
      <c r="Y234" s="404">
        <f>ROUND((O234*S234*E234*N234/1000000),4)</f>
        <v>0</v>
      </c>
      <c r="Z234" s="404">
        <f>ROUND((P234*T234*E234*N234/1000000),4)</f>
        <v>2.58E-2</v>
      </c>
      <c r="AA234" s="404">
        <f>ROUND((Q234*U234*E234*N234/1000000),4)</f>
        <v>5.16E-2</v>
      </c>
      <c r="AB234" s="937" t="s">
        <v>48</v>
      </c>
      <c r="AC234" s="938" t="s">
        <v>49</v>
      </c>
      <c r="AD234" s="939">
        <f>ROUND((((W234*D234)/1800)*0.8),4)</f>
        <v>3.09E-2</v>
      </c>
      <c r="AE234" s="939">
        <f>ROUND(((Y234+Z234+AA234)*0.8),4)</f>
        <v>6.1899999999999997E-2</v>
      </c>
      <c r="AF234" s="61"/>
      <c r="AG234" s="61"/>
      <c r="AH234" s="61"/>
      <c r="AI234" s="61"/>
    </row>
    <row r="235" spans="1:35" s="417" customFormat="1" ht="15" customHeight="1" x14ac:dyDescent="0.2">
      <c r="A235" s="561" t="s">
        <v>492</v>
      </c>
      <c r="B235" s="487" t="s">
        <v>359</v>
      </c>
      <c r="C235" s="414"/>
      <c r="D235" s="400"/>
      <c r="E235" s="400"/>
      <c r="F235" s="400"/>
      <c r="G235" s="400"/>
      <c r="H235" s="400"/>
      <c r="I235" s="400"/>
      <c r="J235" s="400"/>
      <c r="K235" s="400"/>
      <c r="L235" s="400"/>
      <c r="M235" s="400"/>
      <c r="N235" s="400"/>
      <c r="O235" s="400"/>
      <c r="P235" s="400"/>
      <c r="Q235" s="400"/>
      <c r="R235" s="488"/>
      <c r="S235" s="407"/>
      <c r="T235" s="407"/>
      <c r="U235" s="407"/>
      <c r="V235" s="407"/>
      <c r="W235" s="407"/>
      <c r="X235" s="407"/>
      <c r="Y235" s="407"/>
      <c r="Z235" s="407"/>
      <c r="AA235" s="407"/>
      <c r="AB235" s="937" t="s">
        <v>51</v>
      </c>
      <c r="AC235" s="938" t="s">
        <v>52</v>
      </c>
      <c r="AD235" s="939">
        <f>ROUND((((W234*D234)/1800)*0.13),4)</f>
        <v>5.0000000000000001E-3</v>
      </c>
      <c r="AE235" s="939">
        <f>ROUND(((Y234+Z234+AA234)*0.13),4)</f>
        <v>1.01E-2</v>
      </c>
      <c r="AF235" s="61"/>
      <c r="AG235" s="61"/>
      <c r="AH235" s="61"/>
      <c r="AI235" s="61"/>
    </row>
    <row r="236" spans="1:35" s="417" customFormat="1" ht="15" customHeight="1" x14ac:dyDescent="0.2">
      <c r="A236" s="562"/>
      <c r="B236" s="414" t="s">
        <v>360</v>
      </c>
      <c r="C236" s="415"/>
      <c r="D236" s="400"/>
      <c r="E236" s="400"/>
      <c r="F236" s="400"/>
      <c r="G236" s="400"/>
      <c r="H236" s="400"/>
      <c r="I236" s="400"/>
      <c r="J236" s="400"/>
      <c r="K236" s="400">
        <v>0.19</v>
      </c>
      <c r="L236" s="400">
        <v>0.23</v>
      </c>
      <c r="M236" s="400"/>
      <c r="N236" s="400"/>
      <c r="O236" s="400"/>
      <c r="P236" s="400"/>
      <c r="Q236" s="400"/>
      <c r="R236" s="482">
        <v>9.7000000000000003E-2</v>
      </c>
      <c r="S236" s="208">
        <f>ROUND((K236*H234+1.3*K236*J234+R236*G234),4)</f>
        <v>69.802499999999995</v>
      </c>
      <c r="T236" s="208">
        <f>ROUND((L236*0.9*H234+1.3*L236*0.9*J234+R236*G234),4)</f>
        <v>75.527299999999997</v>
      </c>
      <c r="U236" s="208">
        <f>ROUND((L236*H234+1.3*L236*J234+R236*G234),4)</f>
        <v>83.272499999999994</v>
      </c>
      <c r="V236" s="208">
        <f>ROUND((K236*I234+1.3*K236*M234+R236*F234),4)</f>
        <v>5.7119999999999997</v>
      </c>
      <c r="W236" s="208">
        <f>ROUND((L236*0.9*I234+1.3*L236*0.9*M234+R236*F234),4)</f>
        <v>6.1710000000000003</v>
      </c>
      <c r="X236" s="208">
        <f>ROUND((L236*I234+1.3*L236*M234+R236*F234),4)</f>
        <v>6.7919999999999998</v>
      </c>
      <c r="Y236" s="404">
        <f>ROUND((O234*S236*E234*N234/1000000),4)</f>
        <v>0</v>
      </c>
      <c r="Z236" s="404">
        <f>ROUND((P234*T236*E234*N234/1000000),4)</f>
        <v>2.3E-3</v>
      </c>
      <c r="AA236" s="404">
        <f>ROUND((Q234*U236*E234*N234/1000000),4)</f>
        <v>5.0000000000000001E-3</v>
      </c>
      <c r="AB236" s="937" t="s">
        <v>56</v>
      </c>
      <c r="AC236" s="938" t="s">
        <v>57</v>
      </c>
      <c r="AD236" s="939">
        <f>ROUND((((W236*D234)/1800)),4)</f>
        <v>3.3999999999999998E-3</v>
      </c>
      <c r="AE236" s="939">
        <f>ROUND(((Y236+Z236+AA236)),5)</f>
        <v>7.3000000000000001E-3</v>
      </c>
      <c r="AF236" s="61"/>
      <c r="AG236" s="61"/>
      <c r="AH236" s="61"/>
      <c r="AI236" s="61"/>
    </row>
    <row r="237" spans="1:35" s="417" customFormat="1" ht="15" customHeight="1" x14ac:dyDescent="0.2">
      <c r="A237" s="562"/>
      <c r="B237" s="414"/>
      <c r="C237" s="414"/>
      <c r="D237" s="400"/>
      <c r="E237" s="400"/>
      <c r="F237" s="400"/>
      <c r="G237" s="400"/>
      <c r="H237" s="400"/>
      <c r="I237" s="400"/>
      <c r="J237" s="400"/>
      <c r="K237" s="400">
        <v>0.43</v>
      </c>
      <c r="L237" s="400">
        <v>0.51</v>
      </c>
      <c r="M237" s="400"/>
      <c r="N237" s="400"/>
      <c r="O237" s="400"/>
      <c r="P237" s="400"/>
      <c r="Q237" s="400"/>
      <c r="R237" s="482">
        <v>0.3</v>
      </c>
      <c r="S237" s="208">
        <f>ROUND((K237*H234+1.3*K237*J234+R237*G234),4)</f>
        <v>162.80250000000001</v>
      </c>
      <c r="T237" s="208">
        <f>ROUND((L237*0.9*H234+1.3*L237*0.9*J234+R237*G234),4)</f>
        <v>172.56829999999999</v>
      </c>
      <c r="U237" s="208">
        <f>ROUND((L237*H234+1.3*L237*J234+R237*G234),4)</f>
        <v>189.74250000000001</v>
      </c>
      <c r="V237" s="208">
        <f>ROUND((K237*I234+1.3*K237*M234+R237*F234),4)</f>
        <v>13.41</v>
      </c>
      <c r="W237" s="208">
        <f>ROUND((L237*0.9*I234+1.3*L237*0.9*M234+R237*F234),4)</f>
        <v>14.193</v>
      </c>
      <c r="X237" s="208">
        <f>ROUND((L237*I234+1.3*M234+R237*F234),4)</f>
        <v>21.94</v>
      </c>
      <c r="Y237" s="404">
        <f>ROUND((O234*S237*E234*N234/1000000),4)</f>
        <v>0</v>
      </c>
      <c r="Z237" s="404">
        <f>ROUND((P234*T237*E234*N234/1000000),4)</f>
        <v>5.1999999999999998E-3</v>
      </c>
      <c r="AA237" s="404">
        <f>ROUND((Q234*U237*E234*N234/1000000),4)</f>
        <v>1.14E-2</v>
      </c>
      <c r="AB237" s="937" t="s">
        <v>177</v>
      </c>
      <c r="AC237" s="938" t="s">
        <v>178</v>
      </c>
      <c r="AD237" s="939">
        <f>ROUND((((W237*D234)/1800)),4)</f>
        <v>7.9000000000000008E-3</v>
      </c>
      <c r="AE237" s="939">
        <f>ROUND(((Y237+Z237+AA237)),4)</f>
        <v>1.66E-2</v>
      </c>
      <c r="AF237" s="61"/>
      <c r="AG237" s="61"/>
      <c r="AH237" s="61"/>
      <c r="AI237" s="61"/>
    </row>
    <row r="238" spans="1:35" s="417" customFormat="1" ht="15" customHeight="1" x14ac:dyDescent="0.2">
      <c r="A238" s="562"/>
      <c r="B238" s="414"/>
      <c r="C238" s="414"/>
      <c r="D238" s="400"/>
      <c r="E238" s="400"/>
      <c r="F238" s="400"/>
      <c r="G238" s="400"/>
      <c r="H238" s="400"/>
      <c r="I238" s="400"/>
      <c r="J238" s="400"/>
      <c r="K238" s="400">
        <v>0.27</v>
      </c>
      <c r="L238" s="400">
        <v>0.41</v>
      </c>
      <c r="M238" s="400"/>
      <c r="N238" s="400"/>
      <c r="O238" s="400"/>
      <c r="P238" s="400"/>
      <c r="Q238" s="400"/>
      <c r="R238" s="482">
        <v>0.06</v>
      </c>
      <c r="S238" s="208">
        <f>ROUND((K238*H234+1.3*K238*J234+R238*G234),4)</f>
        <v>94.522499999999994</v>
      </c>
      <c r="T238" s="208">
        <f>ROUND((L238*0.9*H234+1.3*L238*0.9*J234+R238*G234),4)</f>
        <v>127.8608</v>
      </c>
      <c r="U238" s="208">
        <f>ROUND((L238*H234+1.3*L238*J234+R238*G234),4)</f>
        <v>141.66749999999999</v>
      </c>
      <c r="V238" s="208">
        <f>ROUND((K238*I234+1.3*K238*M234+R238*F234),4)</f>
        <v>7.65</v>
      </c>
      <c r="W238" s="208">
        <f>ROUND((L238*0.9*I234+1.3*L238*0.9*M234+R238*F234),4)</f>
        <v>10.323</v>
      </c>
      <c r="X238" s="208">
        <f>ROUND((L238*I234+1.3*L238*M234+R238*F234),4)</f>
        <v>11.43</v>
      </c>
      <c r="Y238" s="404">
        <f>ROUND((O234*S238*E234*N234/1000000),4)</f>
        <v>0</v>
      </c>
      <c r="Z238" s="404">
        <f>ROUND((P234*T238*E234*N234/1000000),4)</f>
        <v>3.8E-3</v>
      </c>
      <c r="AA238" s="404">
        <f>ROUND((Q234*U238*E234*N234/1000000),4)</f>
        <v>8.5000000000000006E-3</v>
      </c>
      <c r="AB238" s="937" t="s">
        <v>61</v>
      </c>
      <c r="AC238" s="938" t="s">
        <v>62</v>
      </c>
      <c r="AD238" s="939">
        <f>ROUND((((W238*D234)/1800)),4)</f>
        <v>5.7000000000000002E-3</v>
      </c>
      <c r="AE238" s="939">
        <f>ROUND(((Y238+Z238+AA238)),4)</f>
        <v>1.23E-2</v>
      </c>
      <c r="AF238" s="61"/>
      <c r="AG238" s="61"/>
      <c r="AH238" s="61"/>
      <c r="AI238" s="61"/>
    </row>
    <row r="239" spans="1:35" s="417" customFormat="1" ht="15" customHeight="1" x14ac:dyDescent="0.2">
      <c r="A239" s="513"/>
      <c r="B239" s="416"/>
      <c r="C239" s="416"/>
      <c r="D239" s="401"/>
      <c r="E239" s="401"/>
      <c r="F239" s="401"/>
      <c r="G239" s="401"/>
      <c r="H239" s="401"/>
      <c r="I239" s="401"/>
      <c r="J239" s="401"/>
      <c r="K239" s="401">
        <v>1.29</v>
      </c>
      <c r="L239" s="401">
        <v>1.57</v>
      </c>
      <c r="M239" s="401"/>
      <c r="N239" s="401"/>
      <c r="O239" s="401"/>
      <c r="P239" s="401"/>
      <c r="Q239" s="401"/>
      <c r="R239" s="482">
        <v>2.4</v>
      </c>
      <c r="S239" s="175">
        <f>ROUND((K239*H234+1.3*K239*J234+R239*G234),4)</f>
        <v>578.40750000000003</v>
      </c>
      <c r="T239" s="175">
        <f>ROUND((L239*0.9*H234+1.3*L239*0.9*J234+R239*G234),4)</f>
        <v>619.82780000000002</v>
      </c>
      <c r="U239" s="175">
        <f>ROUND((L239*H234+1.3*L239*J234+R239*G234),4)</f>
        <v>672.69749999999999</v>
      </c>
      <c r="V239" s="175">
        <f>ROUND((K239*I234+1.3*K239*M234+R239*F234),4)</f>
        <v>49.23</v>
      </c>
      <c r="W239" s="175">
        <f>ROUND((L239*0.9*I234+1.3*L239*0.9*M234+R239*F234),4)</f>
        <v>52.551000000000002</v>
      </c>
      <c r="X239" s="175">
        <f>ROUND((L239*I234+1.3*L239*M234+R239*F234),4)</f>
        <v>56.79</v>
      </c>
      <c r="Y239" s="489">
        <f>ROUND((O234*S239*E234*N234/1000000),4)</f>
        <v>0</v>
      </c>
      <c r="Z239" s="489">
        <f>ROUND((P234*T239*E234*N234/1000000),4)</f>
        <v>1.8599999999999998E-2</v>
      </c>
      <c r="AA239" s="489">
        <f>ROUND((Q234*U239*E234*N234/1000000),4)</f>
        <v>4.0399999999999998E-2</v>
      </c>
      <c r="AB239" s="937" t="s">
        <v>65</v>
      </c>
      <c r="AC239" s="938" t="s">
        <v>66</v>
      </c>
      <c r="AD239" s="939">
        <f>ROUND((((W239*D234)/1800)),4)</f>
        <v>2.92E-2</v>
      </c>
      <c r="AE239" s="939">
        <f>ROUND(((Y239+Z239+AA239)),4)</f>
        <v>5.8999999999999997E-2</v>
      </c>
      <c r="AF239" s="61">
        <f>SUM(AD234:AD239)</f>
        <v>8.2100000000000006E-2</v>
      </c>
      <c r="AG239" s="61">
        <f>SUM(AE234:AE239)</f>
        <v>0.16720000000000002</v>
      </c>
      <c r="AH239" s="61"/>
      <c r="AI239" s="61"/>
    </row>
    <row r="240" spans="1:35" s="417" customFormat="1" ht="15" customHeight="1" x14ac:dyDescent="0.2">
      <c r="A240" s="1284" t="s">
        <v>691</v>
      </c>
      <c r="B240" s="1437"/>
      <c r="C240" s="1438"/>
      <c r="D240" s="1438"/>
      <c r="E240" s="1438"/>
      <c r="F240" s="1438"/>
      <c r="G240" s="1438"/>
      <c r="H240" s="1438"/>
      <c r="I240" s="1438"/>
      <c r="J240" s="1438"/>
      <c r="K240" s="1438"/>
      <c r="L240" s="1438"/>
      <c r="M240" s="1438"/>
      <c r="N240" s="1438"/>
      <c r="O240" s="1438"/>
      <c r="P240" s="1438"/>
      <c r="Q240" s="1438"/>
      <c r="R240" s="1438"/>
      <c r="S240" s="1438"/>
      <c r="T240" s="1438"/>
      <c r="U240" s="1438"/>
      <c r="V240" s="1438"/>
      <c r="W240" s="1438"/>
      <c r="X240" s="1438"/>
      <c r="Y240" s="1438"/>
      <c r="Z240" s="1438"/>
      <c r="AA240" s="1438"/>
      <c r="AB240" s="1438"/>
      <c r="AC240" s="1438"/>
      <c r="AD240" s="1438"/>
      <c r="AE240" s="1439"/>
      <c r="AF240" s="61"/>
      <c r="AG240" s="61"/>
      <c r="AH240" s="61"/>
      <c r="AI240" s="61"/>
    </row>
    <row r="241" spans="1:35" s="417" customFormat="1" ht="15" customHeight="1" x14ac:dyDescent="0.2">
      <c r="A241" s="560" t="s">
        <v>539</v>
      </c>
      <c r="B241" s="486" t="s">
        <v>343</v>
      </c>
      <c r="C241" s="413">
        <v>4</v>
      </c>
      <c r="D241" s="381">
        <v>1</v>
      </c>
      <c r="E241" s="381">
        <v>1</v>
      </c>
      <c r="F241" s="381">
        <v>6</v>
      </c>
      <c r="G241" s="381">
        <v>60</v>
      </c>
      <c r="H241" s="381">
        <f>(8-1-0.75*2)*60*E241-J241-8*0.12*60</f>
        <v>57.900000000000006</v>
      </c>
      <c r="I241" s="381">
        <v>14</v>
      </c>
      <c r="J241" s="381">
        <f>(8-1-0.75*2)*0.65*60*E241</f>
        <v>214.5</v>
      </c>
      <c r="K241" s="381">
        <v>2.4700000000000002</v>
      </c>
      <c r="L241" s="381">
        <v>2.4700000000000002</v>
      </c>
      <c r="M241" s="381">
        <v>10</v>
      </c>
      <c r="N241" s="381">
        <f>D241/E241</f>
        <v>1</v>
      </c>
      <c r="O241" s="485">
        <v>0</v>
      </c>
      <c r="P241" s="485">
        <v>30</v>
      </c>
      <c r="Q241" s="483">
        <v>60</v>
      </c>
      <c r="R241" s="381">
        <v>0.48</v>
      </c>
      <c r="S241" s="208">
        <f>ROUND((K241*H241+1.3*K241*J241+R241*G241),4)</f>
        <v>860.57249999999999</v>
      </c>
      <c r="T241" s="208">
        <f>ROUND((L241*H241+1.3*L241*J241+R241*G241),4)</f>
        <v>860.57249999999999</v>
      </c>
      <c r="U241" s="208">
        <f>ROUND((L241*H241+1.3*L241*J241+R241*G241),4)</f>
        <v>860.57249999999999</v>
      </c>
      <c r="V241" s="208">
        <f>ROUND((K241*I241+1.3*K241*M241+R241*F241),4)</f>
        <v>69.569999999999993</v>
      </c>
      <c r="W241" s="208">
        <f>ROUND((L241*I241+1.3*L241*M241+R241*F241),4)</f>
        <v>69.569999999999993</v>
      </c>
      <c r="X241" s="208">
        <f>ROUND((L241*I241+1.3*L241*M241+R241*F241),4)</f>
        <v>69.569999999999993</v>
      </c>
      <c r="Y241" s="404">
        <f>ROUND((O241*S241*E241*N241/1000000),4)</f>
        <v>0</v>
      </c>
      <c r="Z241" s="404">
        <f>ROUND((P241*T241*E241*N241/1000000),4)</f>
        <v>2.58E-2</v>
      </c>
      <c r="AA241" s="404">
        <f>ROUND((Q241*U241*E241*N241/1000000),4)</f>
        <v>5.16E-2</v>
      </c>
      <c r="AB241" s="937" t="s">
        <v>48</v>
      </c>
      <c r="AC241" s="938" t="s">
        <v>49</v>
      </c>
      <c r="AD241" s="939">
        <f>ROUND((((W241*D241)/1800)*0.8),4)</f>
        <v>3.09E-2</v>
      </c>
      <c r="AE241" s="939">
        <f>ROUND(((Y241+Z241+AA241)*0.8),4)</f>
        <v>6.1899999999999997E-2</v>
      </c>
      <c r="AF241" s="61"/>
      <c r="AG241" s="61"/>
      <c r="AH241" s="61"/>
      <c r="AI241" s="61"/>
    </row>
    <row r="242" spans="1:35" s="417" customFormat="1" ht="15" customHeight="1" x14ac:dyDescent="0.2">
      <c r="A242" s="561" t="s">
        <v>492</v>
      </c>
      <c r="B242" s="487" t="s">
        <v>359</v>
      </c>
      <c r="C242" s="414"/>
      <c r="D242" s="400"/>
      <c r="E242" s="400"/>
      <c r="F242" s="400"/>
      <c r="G242" s="400"/>
      <c r="H242" s="400"/>
      <c r="I242" s="400"/>
      <c r="J242" s="400"/>
      <c r="K242" s="400"/>
      <c r="L242" s="400"/>
      <c r="M242" s="400"/>
      <c r="N242" s="400"/>
      <c r="O242" s="400"/>
      <c r="P242" s="400"/>
      <c r="Q242" s="400"/>
      <c r="R242" s="488"/>
      <c r="S242" s="407"/>
      <c r="T242" s="407"/>
      <c r="U242" s="407"/>
      <c r="V242" s="407"/>
      <c r="W242" s="407"/>
      <c r="X242" s="407"/>
      <c r="Y242" s="407"/>
      <c r="Z242" s="407"/>
      <c r="AA242" s="407"/>
      <c r="AB242" s="937" t="s">
        <v>51</v>
      </c>
      <c r="AC242" s="938" t="s">
        <v>52</v>
      </c>
      <c r="AD242" s="939">
        <f>ROUND((((W241*D241)/1800)*0.13),4)</f>
        <v>5.0000000000000001E-3</v>
      </c>
      <c r="AE242" s="939">
        <f>ROUND(((Y241+Z241+AA241)*0.13),4)</f>
        <v>1.01E-2</v>
      </c>
      <c r="AF242" s="61"/>
      <c r="AG242" s="61"/>
      <c r="AH242" s="61"/>
      <c r="AI242" s="61"/>
    </row>
    <row r="243" spans="1:35" s="417" customFormat="1" ht="15" customHeight="1" x14ac:dyDescent="0.2">
      <c r="A243" s="562"/>
      <c r="B243" s="414" t="s">
        <v>360</v>
      </c>
      <c r="C243" s="415"/>
      <c r="D243" s="400"/>
      <c r="E243" s="400"/>
      <c r="F243" s="400"/>
      <c r="G243" s="400"/>
      <c r="H243" s="400"/>
      <c r="I243" s="400"/>
      <c r="J243" s="400"/>
      <c r="K243" s="400">
        <v>0.19</v>
      </c>
      <c r="L243" s="400">
        <v>0.23</v>
      </c>
      <c r="M243" s="400"/>
      <c r="N243" s="400"/>
      <c r="O243" s="400"/>
      <c r="P243" s="400"/>
      <c r="Q243" s="400"/>
      <c r="R243" s="482">
        <v>9.7000000000000003E-2</v>
      </c>
      <c r="S243" s="208">
        <f>ROUND((K243*H241+1.3*K243*J241+R243*G241),4)</f>
        <v>69.802499999999995</v>
      </c>
      <c r="T243" s="208">
        <f>ROUND((L243*0.9*H241+1.3*L243*0.9*J241+R243*G241),4)</f>
        <v>75.527299999999997</v>
      </c>
      <c r="U243" s="208">
        <f>ROUND((L243*H241+1.3*L243*J241+R243*G241),4)</f>
        <v>83.272499999999994</v>
      </c>
      <c r="V243" s="208">
        <f>ROUND((K243*I241+1.3*K243*M241+R243*F241),4)</f>
        <v>5.7119999999999997</v>
      </c>
      <c r="W243" s="208">
        <f>ROUND((L243*0.9*I241+1.3*L243*0.9*M241+R243*F241),4)</f>
        <v>6.1710000000000003</v>
      </c>
      <c r="X243" s="208">
        <f>ROUND((L243*I241+1.3*L243*M241+R243*F241),4)</f>
        <v>6.7919999999999998</v>
      </c>
      <c r="Y243" s="404">
        <f>ROUND((O241*S243*E241*N241/1000000),4)</f>
        <v>0</v>
      </c>
      <c r="Z243" s="404">
        <f>ROUND((P241*T243*E241*N241/1000000),4)</f>
        <v>2.3E-3</v>
      </c>
      <c r="AA243" s="404">
        <f>ROUND((Q241*U243*E241*N241/1000000),4)</f>
        <v>5.0000000000000001E-3</v>
      </c>
      <c r="AB243" s="937" t="s">
        <v>56</v>
      </c>
      <c r="AC243" s="938" t="s">
        <v>57</v>
      </c>
      <c r="AD243" s="939">
        <f>ROUND((((W243*D241)/1800)),4)</f>
        <v>3.3999999999999998E-3</v>
      </c>
      <c r="AE243" s="939">
        <f>ROUND(((Y243+Z243+AA243)),5)</f>
        <v>7.3000000000000001E-3</v>
      </c>
      <c r="AF243" s="61"/>
      <c r="AG243" s="61"/>
      <c r="AH243" s="61"/>
      <c r="AI243" s="61"/>
    </row>
    <row r="244" spans="1:35" s="417" customFormat="1" ht="15" customHeight="1" x14ac:dyDescent="0.2">
      <c r="A244" s="562"/>
      <c r="B244" s="414"/>
      <c r="C244" s="414"/>
      <c r="D244" s="400"/>
      <c r="E244" s="400"/>
      <c r="F244" s="400"/>
      <c r="G244" s="400"/>
      <c r="H244" s="400"/>
      <c r="I244" s="400"/>
      <c r="J244" s="400"/>
      <c r="K244" s="400">
        <v>0.43</v>
      </c>
      <c r="L244" s="400">
        <v>0.51</v>
      </c>
      <c r="M244" s="400"/>
      <c r="N244" s="400"/>
      <c r="O244" s="400"/>
      <c r="P244" s="400"/>
      <c r="Q244" s="400"/>
      <c r="R244" s="482">
        <v>0.3</v>
      </c>
      <c r="S244" s="208">
        <f>ROUND((K244*H241+1.3*K244*J241+R244*G241),4)</f>
        <v>162.80250000000001</v>
      </c>
      <c r="T244" s="208">
        <f>ROUND((L244*0.9*H241+1.3*L244*0.9*J241+R244*G241),4)</f>
        <v>172.56829999999999</v>
      </c>
      <c r="U244" s="208">
        <f>ROUND((L244*H241+1.3*L244*J241+R244*G241),4)</f>
        <v>189.74250000000001</v>
      </c>
      <c r="V244" s="208">
        <f>ROUND((K244*I241+1.3*K244*M241+R244*F241),4)</f>
        <v>13.41</v>
      </c>
      <c r="W244" s="208">
        <f>ROUND((L244*0.9*I241+1.3*L244*0.9*M241+R244*F241),4)</f>
        <v>14.193</v>
      </c>
      <c r="X244" s="208">
        <f>ROUND((L244*I241+1.3*M241+R244*F241),4)</f>
        <v>21.94</v>
      </c>
      <c r="Y244" s="404">
        <f>ROUND((O241*S244*E241*N241/1000000),4)</f>
        <v>0</v>
      </c>
      <c r="Z244" s="404">
        <f>ROUND((P241*T244*E241*N241/1000000),4)</f>
        <v>5.1999999999999998E-3</v>
      </c>
      <c r="AA244" s="404">
        <f>ROUND((Q241*U244*E241*N241/1000000),4)</f>
        <v>1.14E-2</v>
      </c>
      <c r="AB244" s="937" t="s">
        <v>177</v>
      </c>
      <c r="AC244" s="938" t="s">
        <v>178</v>
      </c>
      <c r="AD244" s="939">
        <f>ROUND((((W244*D241)/1800)),4)</f>
        <v>7.9000000000000008E-3</v>
      </c>
      <c r="AE244" s="939">
        <f>ROUND(((Y244+Z244+AA244)),4)</f>
        <v>1.66E-2</v>
      </c>
      <c r="AF244" s="61"/>
      <c r="AG244" s="61"/>
      <c r="AH244" s="61"/>
      <c r="AI244" s="61"/>
    </row>
    <row r="245" spans="1:35" s="417" customFormat="1" ht="15" customHeight="1" x14ac:dyDescent="0.2">
      <c r="A245" s="562"/>
      <c r="B245" s="414"/>
      <c r="C245" s="414"/>
      <c r="D245" s="400"/>
      <c r="E245" s="400"/>
      <c r="F245" s="400"/>
      <c r="G245" s="400"/>
      <c r="H245" s="400"/>
      <c r="I245" s="400"/>
      <c r="J245" s="400"/>
      <c r="K245" s="400">
        <v>0.27</v>
      </c>
      <c r="L245" s="400">
        <v>0.41</v>
      </c>
      <c r="M245" s="400"/>
      <c r="N245" s="400"/>
      <c r="O245" s="400"/>
      <c r="P245" s="400"/>
      <c r="Q245" s="400"/>
      <c r="R245" s="482">
        <v>0.06</v>
      </c>
      <c r="S245" s="208">
        <f>ROUND((K245*H241+1.3*K245*J241+R245*G241),4)</f>
        <v>94.522499999999994</v>
      </c>
      <c r="T245" s="208">
        <f>ROUND((L245*0.9*H241+1.3*L245*0.9*J241+R245*G241),4)</f>
        <v>127.8608</v>
      </c>
      <c r="U245" s="208">
        <f>ROUND((L245*H241+1.3*L245*J241+R245*G241),4)</f>
        <v>141.66749999999999</v>
      </c>
      <c r="V245" s="208">
        <f>ROUND((K245*I241+1.3*K245*M241+R245*F241),4)</f>
        <v>7.65</v>
      </c>
      <c r="W245" s="208">
        <f>ROUND((L245*0.9*I241+1.3*L245*0.9*M241+R245*F241),4)</f>
        <v>10.323</v>
      </c>
      <c r="X245" s="208">
        <f>ROUND((L245*I241+1.3*L245*M241+R245*F241),4)</f>
        <v>11.43</v>
      </c>
      <c r="Y245" s="404">
        <f>ROUND((O241*S245*E241*N241/1000000),4)</f>
        <v>0</v>
      </c>
      <c r="Z245" s="404">
        <f>ROUND((P241*T245*E241*N241/1000000),4)</f>
        <v>3.8E-3</v>
      </c>
      <c r="AA245" s="404">
        <f>ROUND((Q241*U245*E241*N241/1000000),4)</f>
        <v>8.5000000000000006E-3</v>
      </c>
      <c r="AB245" s="937" t="s">
        <v>61</v>
      </c>
      <c r="AC245" s="938" t="s">
        <v>62</v>
      </c>
      <c r="AD245" s="939">
        <f>ROUND((((W245*D241)/1800)),4)</f>
        <v>5.7000000000000002E-3</v>
      </c>
      <c r="AE245" s="939">
        <f>ROUND(((Y245+Z245+AA245)),4)</f>
        <v>1.23E-2</v>
      </c>
      <c r="AF245" s="61"/>
      <c r="AG245" s="61"/>
      <c r="AH245" s="61"/>
      <c r="AI245" s="61"/>
    </row>
    <row r="246" spans="1:35" s="417" customFormat="1" ht="15" customHeight="1" x14ac:dyDescent="0.2">
      <c r="A246" s="513"/>
      <c r="B246" s="416"/>
      <c r="C246" s="416"/>
      <c r="D246" s="401"/>
      <c r="E246" s="401"/>
      <c r="F246" s="401"/>
      <c r="G246" s="401"/>
      <c r="H246" s="401"/>
      <c r="I246" s="401"/>
      <c r="J246" s="401"/>
      <c r="K246" s="401">
        <v>1.29</v>
      </c>
      <c r="L246" s="401">
        <v>1.57</v>
      </c>
      <c r="M246" s="401"/>
      <c r="N246" s="401"/>
      <c r="O246" s="401"/>
      <c r="P246" s="401"/>
      <c r="Q246" s="401"/>
      <c r="R246" s="482">
        <v>2.4</v>
      </c>
      <c r="S246" s="175">
        <f>ROUND((K246*H241+1.3*K246*J241+R246*G241),4)</f>
        <v>578.40750000000003</v>
      </c>
      <c r="T246" s="175">
        <f>ROUND((L246*0.9*H241+1.3*L246*0.9*J241+R246*G241),4)</f>
        <v>619.82780000000002</v>
      </c>
      <c r="U246" s="175">
        <f>ROUND((L246*H241+1.3*L246*J241+R246*G241),4)</f>
        <v>672.69749999999999</v>
      </c>
      <c r="V246" s="175">
        <f>ROUND((K246*I241+1.3*K246*M241+R246*F241),4)</f>
        <v>49.23</v>
      </c>
      <c r="W246" s="175">
        <f>ROUND((L246*0.9*I241+1.3*L246*0.9*M241+R246*F241),4)</f>
        <v>52.551000000000002</v>
      </c>
      <c r="X246" s="175">
        <f>ROUND((L246*I241+1.3*L246*M241+R246*F241),4)</f>
        <v>56.79</v>
      </c>
      <c r="Y246" s="489">
        <f>ROUND((O241*S246*E241*N241/1000000),4)</f>
        <v>0</v>
      </c>
      <c r="Z246" s="489">
        <f>ROUND((P241*T246*E241*N241/1000000),4)</f>
        <v>1.8599999999999998E-2</v>
      </c>
      <c r="AA246" s="489">
        <f>ROUND((Q241*U246*E241*N241/1000000),4)</f>
        <v>4.0399999999999998E-2</v>
      </c>
      <c r="AB246" s="937" t="s">
        <v>65</v>
      </c>
      <c r="AC246" s="938" t="s">
        <v>66</v>
      </c>
      <c r="AD246" s="939">
        <f>ROUND((((W246*D241)/1800)),4)</f>
        <v>2.92E-2</v>
      </c>
      <c r="AE246" s="939">
        <f>ROUND(((Y246+Z246+AA246)),4)</f>
        <v>5.8999999999999997E-2</v>
      </c>
      <c r="AF246" s="61">
        <f>SUM(AD241:AD246)</f>
        <v>8.2100000000000006E-2</v>
      </c>
      <c r="AG246" s="61">
        <f>SUM(AE241:AE246)</f>
        <v>0.16720000000000002</v>
      </c>
      <c r="AH246" s="61"/>
      <c r="AI246" s="61"/>
    </row>
    <row r="247" spans="1:35" s="417" customFormat="1" ht="15" customHeight="1" x14ac:dyDescent="0.2">
      <c r="A247" s="1284" t="s">
        <v>692</v>
      </c>
      <c r="B247" s="1437"/>
      <c r="C247" s="1438"/>
      <c r="D247" s="1438"/>
      <c r="E247" s="1438"/>
      <c r="F247" s="1438"/>
      <c r="G247" s="1438"/>
      <c r="H247" s="1438"/>
      <c r="I247" s="1438"/>
      <c r="J247" s="1438"/>
      <c r="K247" s="1438"/>
      <c r="L247" s="1438"/>
      <c r="M247" s="1438"/>
      <c r="N247" s="1438"/>
      <c r="O247" s="1438"/>
      <c r="P247" s="1438"/>
      <c r="Q247" s="1438"/>
      <c r="R247" s="1438"/>
      <c r="S247" s="1438"/>
      <c r="T247" s="1438"/>
      <c r="U247" s="1438"/>
      <c r="V247" s="1438"/>
      <c r="W247" s="1438"/>
      <c r="X247" s="1438"/>
      <c r="Y247" s="1438"/>
      <c r="Z247" s="1438"/>
      <c r="AA247" s="1438"/>
      <c r="AB247" s="1438"/>
      <c r="AC247" s="1438"/>
      <c r="AD247" s="1438"/>
      <c r="AE247" s="1439"/>
      <c r="AF247" s="61"/>
      <c r="AG247" s="61"/>
      <c r="AH247" s="61"/>
      <c r="AI247" s="61"/>
    </row>
    <row r="248" spans="1:35" s="417" customFormat="1" ht="15" customHeight="1" x14ac:dyDescent="0.2">
      <c r="A248" s="560" t="s">
        <v>541</v>
      </c>
      <c r="B248" s="486" t="s">
        <v>343</v>
      </c>
      <c r="C248" s="413">
        <v>4</v>
      </c>
      <c r="D248" s="381">
        <v>1</v>
      </c>
      <c r="E248" s="381">
        <v>1</v>
      </c>
      <c r="F248" s="381">
        <v>6</v>
      </c>
      <c r="G248" s="381">
        <v>60</v>
      </c>
      <c r="H248" s="381">
        <f>(8-1-0.75*2)*60*E248-J248-8*0.12*60</f>
        <v>57.900000000000006</v>
      </c>
      <c r="I248" s="381">
        <v>14</v>
      </c>
      <c r="J248" s="381">
        <f>(8-1-0.75*2)*0.65*60*E248</f>
        <v>214.5</v>
      </c>
      <c r="K248" s="381">
        <v>2.4700000000000002</v>
      </c>
      <c r="L248" s="381">
        <v>2.4700000000000002</v>
      </c>
      <c r="M248" s="381">
        <v>10</v>
      </c>
      <c r="N248" s="381">
        <f>D248/E248</f>
        <v>1</v>
      </c>
      <c r="O248" s="485">
        <v>0</v>
      </c>
      <c r="P248" s="485">
        <v>30</v>
      </c>
      <c r="Q248" s="483">
        <v>60</v>
      </c>
      <c r="R248" s="381">
        <v>0.48</v>
      </c>
      <c r="S248" s="208">
        <f>ROUND((K248*H248+1.3*K248*J248+R248*G248),4)</f>
        <v>860.57249999999999</v>
      </c>
      <c r="T248" s="208">
        <f>ROUND((L248*H248+1.3*L248*J248+R248*G248),4)</f>
        <v>860.57249999999999</v>
      </c>
      <c r="U248" s="208">
        <f>ROUND((L248*H248+1.3*L248*J248+R248*G248),4)</f>
        <v>860.57249999999999</v>
      </c>
      <c r="V248" s="208">
        <f>ROUND((K248*I248+1.3*K248*M248+R248*F248),4)</f>
        <v>69.569999999999993</v>
      </c>
      <c r="W248" s="208">
        <f>ROUND((L248*I248+1.3*L248*M248+R248*F248),4)</f>
        <v>69.569999999999993</v>
      </c>
      <c r="X248" s="208">
        <f>ROUND((L248*I248+1.3*L248*M248+R248*F248),4)</f>
        <v>69.569999999999993</v>
      </c>
      <c r="Y248" s="404">
        <f>ROUND((O248*S248*E248*N248/1000000),4)</f>
        <v>0</v>
      </c>
      <c r="Z248" s="404">
        <f>ROUND((P248*T248*E248*N248/1000000),4)</f>
        <v>2.58E-2</v>
      </c>
      <c r="AA248" s="404">
        <f>ROUND((Q248*U248*E248*N248/1000000),4)</f>
        <v>5.16E-2</v>
      </c>
      <c r="AB248" s="937" t="s">
        <v>48</v>
      </c>
      <c r="AC248" s="938" t="s">
        <v>49</v>
      </c>
      <c r="AD248" s="939">
        <f>ROUND((((W248*D248)/1800)*0.8),4)</f>
        <v>3.09E-2</v>
      </c>
      <c r="AE248" s="939">
        <f>ROUND(((Y248+Z248+AA248)*0.8),4)</f>
        <v>6.1899999999999997E-2</v>
      </c>
      <c r="AF248" s="61"/>
      <c r="AG248" s="61"/>
      <c r="AH248" s="61"/>
      <c r="AI248" s="61"/>
    </row>
    <row r="249" spans="1:35" s="417" customFormat="1" ht="15" customHeight="1" x14ac:dyDescent="0.2">
      <c r="A249" s="561" t="s">
        <v>492</v>
      </c>
      <c r="B249" s="487" t="s">
        <v>359</v>
      </c>
      <c r="C249" s="414"/>
      <c r="D249" s="400"/>
      <c r="E249" s="400"/>
      <c r="F249" s="400"/>
      <c r="G249" s="400"/>
      <c r="H249" s="400"/>
      <c r="I249" s="400"/>
      <c r="J249" s="400"/>
      <c r="K249" s="400"/>
      <c r="L249" s="400"/>
      <c r="M249" s="400"/>
      <c r="N249" s="400"/>
      <c r="O249" s="400"/>
      <c r="P249" s="400"/>
      <c r="Q249" s="400"/>
      <c r="R249" s="488"/>
      <c r="S249" s="407"/>
      <c r="T249" s="407"/>
      <c r="U249" s="407"/>
      <c r="V249" s="407"/>
      <c r="W249" s="407"/>
      <c r="X249" s="407"/>
      <c r="Y249" s="407"/>
      <c r="Z249" s="407"/>
      <c r="AA249" s="407"/>
      <c r="AB249" s="937" t="s">
        <v>51</v>
      </c>
      <c r="AC249" s="938" t="s">
        <v>52</v>
      </c>
      <c r="AD249" s="939">
        <f>ROUND((((W248*D248)/1800)*0.13),4)</f>
        <v>5.0000000000000001E-3</v>
      </c>
      <c r="AE249" s="939">
        <f>ROUND(((Y248+Z248+AA248)*0.13),4)</f>
        <v>1.01E-2</v>
      </c>
      <c r="AF249" s="61"/>
      <c r="AG249" s="61"/>
      <c r="AH249" s="61"/>
      <c r="AI249" s="61"/>
    </row>
    <row r="250" spans="1:35" s="417" customFormat="1" ht="15" customHeight="1" x14ac:dyDescent="0.2">
      <c r="A250" s="562"/>
      <c r="B250" s="414" t="s">
        <v>360</v>
      </c>
      <c r="C250" s="415"/>
      <c r="D250" s="400"/>
      <c r="E250" s="400"/>
      <c r="F250" s="400"/>
      <c r="G250" s="400"/>
      <c r="H250" s="400"/>
      <c r="I250" s="400"/>
      <c r="J250" s="400"/>
      <c r="K250" s="400">
        <v>0.19</v>
      </c>
      <c r="L250" s="400">
        <v>0.23</v>
      </c>
      <c r="M250" s="400"/>
      <c r="N250" s="400"/>
      <c r="O250" s="400"/>
      <c r="P250" s="400"/>
      <c r="Q250" s="400"/>
      <c r="R250" s="482">
        <v>9.7000000000000003E-2</v>
      </c>
      <c r="S250" s="208">
        <f>ROUND((K250*H248+1.3*K250*J248+R250*G248),4)</f>
        <v>69.802499999999995</v>
      </c>
      <c r="T250" s="208">
        <f>ROUND((L250*0.9*H248+1.3*L250*0.9*J248+R250*G248),4)</f>
        <v>75.527299999999997</v>
      </c>
      <c r="U250" s="208">
        <f>ROUND((L250*H248+1.3*L250*J248+R250*G248),4)</f>
        <v>83.272499999999994</v>
      </c>
      <c r="V250" s="208">
        <f>ROUND((K250*I248+1.3*K250*M248+R250*F248),4)</f>
        <v>5.7119999999999997</v>
      </c>
      <c r="W250" s="208">
        <f>ROUND((L250*0.9*I248+1.3*L250*0.9*M248+R250*F248),4)</f>
        <v>6.1710000000000003</v>
      </c>
      <c r="X250" s="208">
        <f>ROUND((L250*I248+1.3*L250*M248+R250*F248),4)</f>
        <v>6.7919999999999998</v>
      </c>
      <c r="Y250" s="404">
        <f>ROUND((O248*S250*E248*N248/1000000),4)</f>
        <v>0</v>
      </c>
      <c r="Z250" s="404">
        <f>ROUND((P248*T250*E248*N248/1000000),4)</f>
        <v>2.3E-3</v>
      </c>
      <c r="AA250" s="404">
        <f>ROUND((Q248*U250*E248*N248/1000000),4)</f>
        <v>5.0000000000000001E-3</v>
      </c>
      <c r="AB250" s="937" t="s">
        <v>56</v>
      </c>
      <c r="AC250" s="938" t="s">
        <v>57</v>
      </c>
      <c r="AD250" s="939">
        <f>ROUND((((W250*D248)/1800)),4)</f>
        <v>3.3999999999999998E-3</v>
      </c>
      <c r="AE250" s="939">
        <f>ROUND(((Y250+Z250+AA250)),5)</f>
        <v>7.3000000000000001E-3</v>
      </c>
      <c r="AF250" s="61"/>
      <c r="AG250" s="61"/>
      <c r="AH250" s="61"/>
      <c r="AI250" s="61"/>
    </row>
    <row r="251" spans="1:35" s="417" customFormat="1" ht="15" customHeight="1" x14ac:dyDescent="0.2">
      <c r="A251" s="562"/>
      <c r="B251" s="414"/>
      <c r="C251" s="414"/>
      <c r="D251" s="400"/>
      <c r="E251" s="400"/>
      <c r="F251" s="400"/>
      <c r="G251" s="400"/>
      <c r="H251" s="400"/>
      <c r="I251" s="400"/>
      <c r="J251" s="400"/>
      <c r="K251" s="400">
        <v>0.43</v>
      </c>
      <c r="L251" s="400">
        <v>0.51</v>
      </c>
      <c r="M251" s="400"/>
      <c r="N251" s="400"/>
      <c r="O251" s="400"/>
      <c r="P251" s="400"/>
      <c r="Q251" s="400"/>
      <c r="R251" s="482">
        <v>0.3</v>
      </c>
      <c r="S251" s="208">
        <f>ROUND((K251*H248+1.3*K251*J248+R251*G248),4)</f>
        <v>162.80250000000001</v>
      </c>
      <c r="T251" s="208">
        <f>ROUND((L251*0.9*H248+1.3*L251*0.9*J248+R251*G248),4)</f>
        <v>172.56829999999999</v>
      </c>
      <c r="U251" s="208">
        <f>ROUND((L251*H248+1.3*L251*J248+R251*G248),4)</f>
        <v>189.74250000000001</v>
      </c>
      <c r="V251" s="208">
        <f>ROUND((K251*I248+1.3*K251*M248+R251*F248),4)</f>
        <v>13.41</v>
      </c>
      <c r="W251" s="208">
        <f>ROUND((L251*0.9*I248+1.3*L251*0.9*M248+R251*F248),4)</f>
        <v>14.193</v>
      </c>
      <c r="X251" s="208">
        <f>ROUND((L251*I248+1.3*M248+R251*F248),4)</f>
        <v>21.94</v>
      </c>
      <c r="Y251" s="404">
        <f>ROUND((O248*S251*E248*N248/1000000),4)</f>
        <v>0</v>
      </c>
      <c r="Z251" s="404">
        <f>ROUND((P248*T251*E248*N248/1000000),4)</f>
        <v>5.1999999999999998E-3</v>
      </c>
      <c r="AA251" s="404">
        <f>ROUND((Q248*U251*E248*N248/1000000),4)</f>
        <v>1.14E-2</v>
      </c>
      <c r="AB251" s="937" t="s">
        <v>177</v>
      </c>
      <c r="AC251" s="938" t="s">
        <v>178</v>
      </c>
      <c r="AD251" s="939">
        <f>ROUND((((W251*D248)/1800)),4)</f>
        <v>7.9000000000000008E-3</v>
      </c>
      <c r="AE251" s="939">
        <f>ROUND(((Y251+Z251+AA251)),4)</f>
        <v>1.66E-2</v>
      </c>
      <c r="AF251" s="61"/>
      <c r="AG251" s="61"/>
      <c r="AH251" s="61"/>
      <c r="AI251" s="61"/>
    </row>
    <row r="252" spans="1:35" s="417" customFormat="1" ht="15" customHeight="1" x14ac:dyDescent="0.2">
      <c r="A252" s="562"/>
      <c r="B252" s="414"/>
      <c r="C252" s="414"/>
      <c r="D252" s="400"/>
      <c r="E252" s="400"/>
      <c r="F252" s="400"/>
      <c r="G252" s="400"/>
      <c r="H252" s="400"/>
      <c r="I252" s="400"/>
      <c r="J252" s="400"/>
      <c r="K252" s="400">
        <v>0.27</v>
      </c>
      <c r="L252" s="400">
        <v>0.41</v>
      </c>
      <c r="M252" s="400"/>
      <c r="N252" s="400"/>
      <c r="O252" s="400"/>
      <c r="P252" s="400"/>
      <c r="Q252" s="400"/>
      <c r="R252" s="482">
        <v>0.06</v>
      </c>
      <c r="S252" s="208">
        <f>ROUND((K252*H248+1.3*K252*J248+R252*G248),4)</f>
        <v>94.522499999999994</v>
      </c>
      <c r="T252" s="208">
        <f>ROUND((L252*0.9*H248+1.3*L252*0.9*J248+R252*G248),4)</f>
        <v>127.8608</v>
      </c>
      <c r="U252" s="208">
        <f>ROUND((L252*H248+1.3*L252*J248+R252*G248),4)</f>
        <v>141.66749999999999</v>
      </c>
      <c r="V252" s="208">
        <f>ROUND((K252*I248+1.3*K252*M248+R252*F248),4)</f>
        <v>7.65</v>
      </c>
      <c r="W252" s="208">
        <f>ROUND((L252*0.9*I248+1.3*L252*0.9*M248+R252*F248),4)</f>
        <v>10.323</v>
      </c>
      <c r="X252" s="208">
        <f>ROUND((L252*I248+1.3*L252*M248+R252*F248),4)</f>
        <v>11.43</v>
      </c>
      <c r="Y252" s="404">
        <f>ROUND((O248*S252*E248*N248/1000000),4)</f>
        <v>0</v>
      </c>
      <c r="Z252" s="404">
        <f>ROUND((P248*T252*E248*N248/1000000),4)</f>
        <v>3.8E-3</v>
      </c>
      <c r="AA252" s="404">
        <f>ROUND((Q248*U252*E248*N248/1000000),4)</f>
        <v>8.5000000000000006E-3</v>
      </c>
      <c r="AB252" s="937" t="s">
        <v>61</v>
      </c>
      <c r="AC252" s="938" t="s">
        <v>62</v>
      </c>
      <c r="AD252" s="939">
        <f>ROUND((((W252*D248)/1800)),4)</f>
        <v>5.7000000000000002E-3</v>
      </c>
      <c r="AE252" s="939">
        <f>ROUND(((Y252+Z252+AA252)),4)</f>
        <v>1.23E-2</v>
      </c>
      <c r="AF252" s="61"/>
      <c r="AG252" s="61"/>
      <c r="AH252" s="61"/>
      <c r="AI252" s="61"/>
    </row>
    <row r="253" spans="1:35" s="417" customFormat="1" ht="15" customHeight="1" x14ac:dyDescent="0.2">
      <c r="A253" s="513"/>
      <c r="B253" s="416"/>
      <c r="C253" s="416"/>
      <c r="D253" s="401"/>
      <c r="E253" s="401"/>
      <c r="F253" s="401"/>
      <c r="G253" s="401"/>
      <c r="H253" s="401"/>
      <c r="I253" s="401"/>
      <c r="J253" s="401"/>
      <c r="K253" s="401">
        <v>1.29</v>
      </c>
      <c r="L253" s="401">
        <v>1.57</v>
      </c>
      <c r="M253" s="401"/>
      <c r="N253" s="401"/>
      <c r="O253" s="401"/>
      <c r="P253" s="401"/>
      <c r="Q253" s="401"/>
      <c r="R253" s="482">
        <v>2.4</v>
      </c>
      <c r="S253" s="175">
        <f>ROUND((K253*H248+1.3*K253*J248+R253*G248),4)</f>
        <v>578.40750000000003</v>
      </c>
      <c r="T253" s="175">
        <f>ROUND((L253*0.9*H248+1.3*L253*0.9*J248+R253*G248),4)</f>
        <v>619.82780000000002</v>
      </c>
      <c r="U253" s="175">
        <f>ROUND((L253*H248+1.3*L253*J248+R253*G248),4)</f>
        <v>672.69749999999999</v>
      </c>
      <c r="V253" s="175">
        <f>ROUND((K253*I248+1.3*K253*M248+R253*F248),4)</f>
        <v>49.23</v>
      </c>
      <c r="W253" s="175">
        <f>ROUND((L253*0.9*I248+1.3*L253*0.9*M248+R253*F248),4)</f>
        <v>52.551000000000002</v>
      </c>
      <c r="X253" s="175">
        <f>ROUND((L253*I248+1.3*L253*M248+R253*F248),4)</f>
        <v>56.79</v>
      </c>
      <c r="Y253" s="489">
        <f>ROUND((O248*S253*E248*N248/1000000),4)</f>
        <v>0</v>
      </c>
      <c r="Z253" s="489">
        <f>ROUND((P248*T253*E248*N248/1000000),4)</f>
        <v>1.8599999999999998E-2</v>
      </c>
      <c r="AA253" s="489">
        <f>ROUND((Q248*U253*E248*N248/1000000),4)</f>
        <v>4.0399999999999998E-2</v>
      </c>
      <c r="AB253" s="937" t="s">
        <v>65</v>
      </c>
      <c r="AC253" s="938" t="s">
        <v>66</v>
      </c>
      <c r="AD253" s="939">
        <f>ROUND((((W253*D248)/1800)),4)</f>
        <v>2.92E-2</v>
      </c>
      <c r="AE253" s="939">
        <f>ROUND(((Y253+Z253+AA253)),4)</f>
        <v>5.8999999999999997E-2</v>
      </c>
      <c r="AF253" s="61">
        <f>SUM(AD248:AD253)</f>
        <v>8.2100000000000006E-2</v>
      </c>
      <c r="AG253" s="61">
        <f>SUM(AE248:AE253)</f>
        <v>0.16720000000000002</v>
      </c>
      <c r="AH253" s="61"/>
      <c r="AI253" s="61"/>
    </row>
    <row r="254" spans="1:35" s="417" customFormat="1" ht="15" customHeight="1" x14ac:dyDescent="0.2">
      <c r="A254" s="1284" t="s">
        <v>694</v>
      </c>
      <c r="B254" s="1437"/>
      <c r="C254" s="1438"/>
      <c r="D254" s="1438"/>
      <c r="E254" s="1438"/>
      <c r="F254" s="1438"/>
      <c r="G254" s="1438"/>
      <c r="H254" s="1438"/>
      <c r="I254" s="1438"/>
      <c r="J254" s="1438"/>
      <c r="K254" s="1438"/>
      <c r="L254" s="1438"/>
      <c r="M254" s="1438"/>
      <c r="N254" s="1438"/>
      <c r="O254" s="1438"/>
      <c r="P254" s="1438"/>
      <c r="Q254" s="1438"/>
      <c r="R254" s="1438"/>
      <c r="S254" s="1438"/>
      <c r="T254" s="1438"/>
      <c r="U254" s="1438"/>
      <c r="V254" s="1438"/>
      <c r="W254" s="1438"/>
      <c r="X254" s="1438"/>
      <c r="Y254" s="1438"/>
      <c r="Z254" s="1438"/>
      <c r="AA254" s="1438"/>
      <c r="AB254" s="1438"/>
      <c r="AC254" s="1438"/>
      <c r="AD254" s="1438"/>
      <c r="AE254" s="1439"/>
      <c r="AF254" s="61"/>
      <c r="AG254" s="61"/>
      <c r="AH254" s="61"/>
      <c r="AI254" s="61"/>
    </row>
    <row r="255" spans="1:35" s="417" customFormat="1" ht="15" customHeight="1" x14ac:dyDescent="0.2">
      <c r="A255" s="560" t="s">
        <v>542</v>
      </c>
      <c r="B255" s="486" t="s">
        <v>343</v>
      </c>
      <c r="C255" s="413">
        <v>4</v>
      </c>
      <c r="D255" s="381">
        <v>1</v>
      </c>
      <c r="E255" s="381">
        <v>1</v>
      </c>
      <c r="F255" s="381">
        <v>6</v>
      </c>
      <c r="G255" s="381">
        <v>60</v>
      </c>
      <c r="H255" s="381">
        <f>(8-1-0.75*2)*60*E255-J255-8*0.12*60</f>
        <v>57.900000000000006</v>
      </c>
      <c r="I255" s="381">
        <v>14</v>
      </c>
      <c r="J255" s="381">
        <f>(8-1-0.75*2)*0.65*60*E255</f>
        <v>214.5</v>
      </c>
      <c r="K255" s="381">
        <v>2.4700000000000002</v>
      </c>
      <c r="L255" s="381">
        <v>2.4700000000000002</v>
      </c>
      <c r="M255" s="381">
        <v>10</v>
      </c>
      <c r="N255" s="381">
        <f>D255/E255</f>
        <v>1</v>
      </c>
      <c r="O255" s="485">
        <v>0</v>
      </c>
      <c r="P255" s="485">
        <v>30</v>
      </c>
      <c r="Q255" s="483">
        <v>60</v>
      </c>
      <c r="R255" s="381">
        <v>0.48</v>
      </c>
      <c r="S255" s="208">
        <f>ROUND((K255*H255+1.3*K255*J255+R255*G255),4)</f>
        <v>860.57249999999999</v>
      </c>
      <c r="T255" s="208">
        <f>ROUND((L255*H255+1.3*L255*J255+R255*G255),4)</f>
        <v>860.57249999999999</v>
      </c>
      <c r="U255" s="208">
        <f>ROUND((L255*H255+1.3*L255*J255+R255*G255),4)</f>
        <v>860.57249999999999</v>
      </c>
      <c r="V255" s="208">
        <f>ROUND((K255*I255+1.3*K255*M255+R255*F255),4)</f>
        <v>69.569999999999993</v>
      </c>
      <c r="W255" s="208">
        <f>ROUND((L255*I255+1.3*L255*M255+R255*F255),4)</f>
        <v>69.569999999999993</v>
      </c>
      <c r="X255" s="208">
        <f>ROUND((L255*I255+1.3*L255*M255+R255*F255),4)</f>
        <v>69.569999999999993</v>
      </c>
      <c r="Y255" s="404">
        <f>ROUND((O255*S255*E255*N255/1000000),4)</f>
        <v>0</v>
      </c>
      <c r="Z255" s="404">
        <f>ROUND((P255*T255*E255*N255/1000000),4)</f>
        <v>2.58E-2</v>
      </c>
      <c r="AA255" s="404">
        <f>ROUND((Q255*U255*E255*N255/1000000),4)</f>
        <v>5.16E-2</v>
      </c>
      <c r="AB255" s="937" t="s">
        <v>48</v>
      </c>
      <c r="AC255" s="938" t="s">
        <v>49</v>
      </c>
      <c r="AD255" s="939">
        <f>ROUND((((W255*D255)/1800)*0.8),4)</f>
        <v>3.09E-2</v>
      </c>
      <c r="AE255" s="939">
        <f>ROUND(((Y255+Z255+AA255)*0.8),4)</f>
        <v>6.1899999999999997E-2</v>
      </c>
      <c r="AF255" s="61"/>
      <c r="AG255" s="61"/>
      <c r="AH255" s="61"/>
      <c r="AI255" s="61"/>
    </row>
    <row r="256" spans="1:35" s="417" customFormat="1" ht="15" customHeight="1" x14ac:dyDescent="0.2">
      <c r="A256" s="561" t="s">
        <v>492</v>
      </c>
      <c r="B256" s="487" t="s">
        <v>359</v>
      </c>
      <c r="C256" s="414"/>
      <c r="D256" s="400"/>
      <c r="E256" s="400"/>
      <c r="F256" s="400"/>
      <c r="G256" s="400"/>
      <c r="H256" s="400"/>
      <c r="I256" s="400"/>
      <c r="J256" s="400"/>
      <c r="K256" s="400"/>
      <c r="L256" s="400"/>
      <c r="M256" s="400"/>
      <c r="N256" s="400"/>
      <c r="O256" s="400"/>
      <c r="P256" s="400"/>
      <c r="Q256" s="400"/>
      <c r="R256" s="488"/>
      <c r="S256" s="407"/>
      <c r="T256" s="407"/>
      <c r="U256" s="407"/>
      <c r="V256" s="407"/>
      <c r="W256" s="407"/>
      <c r="X256" s="407"/>
      <c r="Y256" s="407"/>
      <c r="Z256" s="407"/>
      <c r="AA256" s="407"/>
      <c r="AB256" s="937" t="s">
        <v>51</v>
      </c>
      <c r="AC256" s="938" t="s">
        <v>52</v>
      </c>
      <c r="AD256" s="939">
        <f>ROUND((((W255*D255)/1800)*0.13),4)</f>
        <v>5.0000000000000001E-3</v>
      </c>
      <c r="AE256" s="939">
        <f>ROUND(((Y255+Z255+AA255)*0.13),4)</f>
        <v>1.01E-2</v>
      </c>
      <c r="AF256" s="61"/>
      <c r="AG256" s="61"/>
      <c r="AH256" s="61"/>
      <c r="AI256" s="61"/>
    </row>
    <row r="257" spans="1:35" s="417" customFormat="1" ht="15" customHeight="1" x14ac:dyDescent="0.2">
      <c r="A257" s="562"/>
      <c r="B257" s="414" t="s">
        <v>360</v>
      </c>
      <c r="C257" s="415"/>
      <c r="D257" s="400"/>
      <c r="E257" s="400"/>
      <c r="F257" s="400"/>
      <c r="G257" s="400"/>
      <c r="H257" s="400"/>
      <c r="I257" s="400"/>
      <c r="J257" s="400"/>
      <c r="K257" s="400">
        <v>0.19</v>
      </c>
      <c r="L257" s="400">
        <v>0.23</v>
      </c>
      <c r="M257" s="400"/>
      <c r="N257" s="400"/>
      <c r="O257" s="400"/>
      <c r="P257" s="400"/>
      <c r="Q257" s="400"/>
      <c r="R257" s="482">
        <v>9.7000000000000003E-2</v>
      </c>
      <c r="S257" s="208">
        <f>ROUND((K257*H255+1.3*K257*J255+R257*G255),4)</f>
        <v>69.802499999999995</v>
      </c>
      <c r="T257" s="208">
        <f>ROUND((L257*0.9*H255+1.3*L257*0.9*J255+R257*G255),4)</f>
        <v>75.527299999999997</v>
      </c>
      <c r="U257" s="208">
        <f>ROUND((L257*H255+1.3*L257*J255+R257*G255),4)</f>
        <v>83.272499999999994</v>
      </c>
      <c r="V257" s="208">
        <f>ROUND((K257*I255+1.3*K257*M255+R257*F255),4)</f>
        <v>5.7119999999999997</v>
      </c>
      <c r="W257" s="208">
        <f>ROUND((L257*0.9*I255+1.3*L257*0.9*M255+R257*F255),4)</f>
        <v>6.1710000000000003</v>
      </c>
      <c r="X257" s="208">
        <f>ROUND((L257*I255+1.3*L257*M255+R257*F255),4)</f>
        <v>6.7919999999999998</v>
      </c>
      <c r="Y257" s="404">
        <f>ROUND((O255*S257*E255*N255/1000000),4)</f>
        <v>0</v>
      </c>
      <c r="Z257" s="404">
        <f>ROUND((P255*T257*E255*N255/1000000),4)</f>
        <v>2.3E-3</v>
      </c>
      <c r="AA257" s="404">
        <f>ROUND((Q255*U257*E255*N255/1000000),4)</f>
        <v>5.0000000000000001E-3</v>
      </c>
      <c r="AB257" s="937" t="s">
        <v>56</v>
      </c>
      <c r="AC257" s="938" t="s">
        <v>57</v>
      </c>
      <c r="AD257" s="939">
        <f>ROUND((((W257*D255)/1800)),4)</f>
        <v>3.3999999999999998E-3</v>
      </c>
      <c r="AE257" s="939">
        <f>ROUND(((Y257+Z257+AA257)),5)</f>
        <v>7.3000000000000001E-3</v>
      </c>
      <c r="AF257" s="61"/>
      <c r="AG257" s="61"/>
      <c r="AH257" s="61"/>
      <c r="AI257" s="61"/>
    </row>
    <row r="258" spans="1:35" s="417" customFormat="1" ht="15" customHeight="1" x14ac:dyDescent="0.2">
      <c r="A258" s="562"/>
      <c r="B258" s="414"/>
      <c r="C258" s="414"/>
      <c r="D258" s="400"/>
      <c r="E258" s="400"/>
      <c r="F258" s="400"/>
      <c r="G258" s="400"/>
      <c r="H258" s="400"/>
      <c r="I258" s="400"/>
      <c r="J258" s="400"/>
      <c r="K258" s="400">
        <v>0.43</v>
      </c>
      <c r="L258" s="400">
        <v>0.51</v>
      </c>
      <c r="M258" s="400"/>
      <c r="N258" s="400"/>
      <c r="O258" s="400"/>
      <c r="P258" s="400"/>
      <c r="Q258" s="400"/>
      <c r="R258" s="482">
        <v>0.3</v>
      </c>
      <c r="S258" s="208">
        <f>ROUND((K258*H255+1.3*K258*J255+R258*G255),4)</f>
        <v>162.80250000000001</v>
      </c>
      <c r="T258" s="208">
        <f>ROUND((L258*0.9*H255+1.3*L258*0.9*J255+R258*G255),4)</f>
        <v>172.56829999999999</v>
      </c>
      <c r="U258" s="208">
        <f>ROUND((L258*H255+1.3*L258*J255+R258*G255),4)</f>
        <v>189.74250000000001</v>
      </c>
      <c r="V258" s="208">
        <f>ROUND((K258*I255+1.3*K258*M255+R258*F255),4)</f>
        <v>13.41</v>
      </c>
      <c r="W258" s="208">
        <f>ROUND((L258*0.9*I255+1.3*L258*0.9*M255+R258*F255),4)</f>
        <v>14.193</v>
      </c>
      <c r="X258" s="208">
        <f>ROUND((L258*I255+1.3*M255+R258*F255),4)</f>
        <v>21.94</v>
      </c>
      <c r="Y258" s="404">
        <f>ROUND((O255*S258*E255*N255/1000000),4)</f>
        <v>0</v>
      </c>
      <c r="Z258" s="404">
        <f>ROUND((P255*T258*E255*N255/1000000),4)</f>
        <v>5.1999999999999998E-3</v>
      </c>
      <c r="AA258" s="404">
        <f>ROUND((Q255*U258*E255*N255/1000000),4)</f>
        <v>1.14E-2</v>
      </c>
      <c r="AB258" s="937" t="s">
        <v>177</v>
      </c>
      <c r="AC258" s="938" t="s">
        <v>178</v>
      </c>
      <c r="AD258" s="939">
        <f>ROUND((((W258*D255)/1800)),4)</f>
        <v>7.9000000000000008E-3</v>
      </c>
      <c r="AE258" s="939">
        <f>ROUND(((Y258+Z258+AA258)),4)</f>
        <v>1.66E-2</v>
      </c>
      <c r="AF258" s="61"/>
      <c r="AG258" s="61"/>
      <c r="AH258" s="61"/>
      <c r="AI258" s="61"/>
    </row>
    <row r="259" spans="1:35" s="417" customFormat="1" ht="15" customHeight="1" x14ac:dyDescent="0.2">
      <c r="A259" s="562"/>
      <c r="B259" s="414"/>
      <c r="C259" s="414"/>
      <c r="D259" s="400"/>
      <c r="E259" s="400"/>
      <c r="F259" s="400"/>
      <c r="G259" s="400"/>
      <c r="H259" s="400"/>
      <c r="I259" s="400"/>
      <c r="J259" s="400"/>
      <c r="K259" s="400">
        <v>0.27</v>
      </c>
      <c r="L259" s="400">
        <v>0.41</v>
      </c>
      <c r="M259" s="400"/>
      <c r="N259" s="400"/>
      <c r="O259" s="400"/>
      <c r="P259" s="400"/>
      <c r="Q259" s="400"/>
      <c r="R259" s="482">
        <v>0.06</v>
      </c>
      <c r="S259" s="208">
        <f>ROUND((K259*H255+1.3*K259*J255+R259*G255),4)</f>
        <v>94.522499999999994</v>
      </c>
      <c r="T259" s="208">
        <f>ROUND((L259*0.9*H255+1.3*L259*0.9*J255+R259*G255),4)</f>
        <v>127.8608</v>
      </c>
      <c r="U259" s="208">
        <f>ROUND((L259*H255+1.3*L259*J255+R259*G255),4)</f>
        <v>141.66749999999999</v>
      </c>
      <c r="V259" s="208">
        <f>ROUND((K259*I255+1.3*K259*M255+R259*F255),4)</f>
        <v>7.65</v>
      </c>
      <c r="W259" s="208">
        <f>ROUND((L259*0.9*I255+1.3*L259*0.9*M255+R259*F255),4)</f>
        <v>10.323</v>
      </c>
      <c r="X259" s="208">
        <f>ROUND((L259*I255+1.3*L259*M255+R259*F255),4)</f>
        <v>11.43</v>
      </c>
      <c r="Y259" s="404">
        <f>ROUND((O255*S259*E255*N255/1000000),4)</f>
        <v>0</v>
      </c>
      <c r="Z259" s="404">
        <f>ROUND((P255*T259*E255*N255/1000000),4)</f>
        <v>3.8E-3</v>
      </c>
      <c r="AA259" s="404">
        <f>ROUND((Q255*U259*E255*N255/1000000),4)</f>
        <v>8.5000000000000006E-3</v>
      </c>
      <c r="AB259" s="937" t="s">
        <v>61</v>
      </c>
      <c r="AC259" s="938" t="s">
        <v>62</v>
      </c>
      <c r="AD259" s="939">
        <f>ROUND((((W259*D255)/1800)),4)</f>
        <v>5.7000000000000002E-3</v>
      </c>
      <c r="AE259" s="939">
        <f>ROUND(((Y259+Z259+AA259)),4)</f>
        <v>1.23E-2</v>
      </c>
      <c r="AF259" s="61"/>
      <c r="AG259" s="61"/>
      <c r="AH259" s="61"/>
      <c r="AI259" s="61"/>
    </row>
    <row r="260" spans="1:35" s="417" customFormat="1" ht="15" customHeight="1" x14ac:dyDescent="0.2">
      <c r="A260" s="513"/>
      <c r="B260" s="416"/>
      <c r="C260" s="416"/>
      <c r="D260" s="401"/>
      <c r="E260" s="401"/>
      <c r="F260" s="401"/>
      <c r="G260" s="401"/>
      <c r="H260" s="401"/>
      <c r="I260" s="401"/>
      <c r="J260" s="401"/>
      <c r="K260" s="401">
        <v>1.29</v>
      </c>
      <c r="L260" s="401">
        <v>1.57</v>
      </c>
      <c r="M260" s="401"/>
      <c r="N260" s="401"/>
      <c r="O260" s="401"/>
      <c r="P260" s="401"/>
      <c r="Q260" s="401"/>
      <c r="R260" s="482">
        <v>2.4</v>
      </c>
      <c r="S260" s="175">
        <f>ROUND((K260*H255+1.3*K260*J255+R260*G255),4)</f>
        <v>578.40750000000003</v>
      </c>
      <c r="T260" s="175">
        <f>ROUND((L260*0.9*H255+1.3*L260*0.9*J255+R260*G255),4)</f>
        <v>619.82780000000002</v>
      </c>
      <c r="U260" s="175">
        <f>ROUND((L260*H255+1.3*L260*J255+R260*G255),4)</f>
        <v>672.69749999999999</v>
      </c>
      <c r="V260" s="175">
        <f>ROUND((K260*I255+1.3*K260*M255+R260*F255),4)</f>
        <v>49.23</v>
      </c>
      <c r="W260" s="175">
        <f>ROUND((L260*0.9*I255+1.3*L260*0.9*M255+R260*F255),4)</f>
        <v>52.551000000000002</v>
      </c>
      <c r="X260" s="175">
        <f>ROUND((L260*I255+1.3*L260*M255+R260*F255),4)</f>
        <v>56.79</v>
      </c>
      <c r="Y260" s="489">
        <f>ROUND((O255*S260*E255*N255/1000000),4)</f>
        <v>0</v>
      </c>
      <c r="Z260" s="489">
        <f>ROUND((P255*T260*E255*N255/1000000),4)</f>
        <v>1.8599999999999998E-2</v>
      </c>
      <c r="AA260" s="489">
        <f>ROUND((Q255*U260*E255*N255/1000000),4)</f>
        <v>4.0399999999999998E-2</v>
      </c>
      <c r="AB260" s="937" t="s">
        <v>65</v>
      </c>
      <c r="AC260" s="938" t="s">
        <v>66</v>
      </c>
      <c r="AD260" s="939">
        <f>ROUND((((W260*D255)/1800)),4)</f>
        <v>2.92E-2</v>
      </c>
      <c r="AE260" s="939">
        <f>ROUND(((Y260+Z260+AA260)),4)</f>
        <v>5.8999999999999997E-2</v>
      </c>
      <c r="AF260" s="61">
        <f>SUM(AD255:AD260)</f>
        <v>8.2100000000000006E-2</v>
      </c>
      <c r="AG260" s="61">
        <f>SUM(AE255:AE260)</f>
        <v>0.16720000000000002</v>
      </c>
      <c r="AH260" s="61"/>
      <c r="AI260" s="61"/>
    </row>
    <row r="261" spans="1:35" s="417" customFormat="1" ht="15" customHeight="1" x14ac:dyDescent="0.2">
      <c r="A261" s="1284" t="s">
        <v>696</v>
      </c>
      <c r="B261" s="1437"/>
      <c r="C261" s="1438"/>
      <c r="D261" s="1438"/>
      <c r="E261" s="1438"/>
      <c r="F261" s="1438"/>
      <c r="G261" s="1438"/>
      <c r="H261" s="1438"/>
      <c r="I261" s="1438"/>
      <c r="J261" s="1438"/>
      <c r="K261" s="1438"/>
      <c r="L261" s="1438"/>
      <c r="M261" s="1438"/>
      <c r="N261" s="1438"/>
      <c r="O261" s="1438"/>
      <c r="P261" s="1438"/>
      <c r="Q261" s="1438"/>
      <c r="R261" s="1438"/>
      <c r="S261" s="1438"/>
      <c r="T261" s="1438"/>
      <c r="U261" s="1438"/>
      <c r="V261" s="1438"/>
      <c r="W261" s="1438"/>
      <c r="X261" s="1438"/>
      <c r="Y261" s="1438"/>
      <c r="Z261" s="1438"/>
      <c r="AA261" s="1438"/>
      <c r="AB261" s="1438"/>
      <c r="AC261" s="1438"/>
      <c r="AD261" s="1438"/>
      <c r="AE261" s="1439"/>
      <c r="AF261" s="61"/>
      <c r="AG261" s="61"/>
      <c r="AH261" s="61"/>
      <c r="AI261" s="61"/>
    </row>
    <row r="262" spans="1:35" s="417" customFormat="1" ht="15" customHeight="1" x14ac:dyDescent="0.2">
      <c r="A262" s="560" t="s">
        <v>544</v>
      </c>
      <c r="B262" s="486" t="s">
        <v>343</v>
      </c>
      <c r="C262" s="413">
        <v>4</v>
      </c>
      <c r="D262" s="381">
        <v>1</v>
      </c>
      <c r="E262" s="381">
        <v>1</v>
      </c>
      <c r="F262" s="381">
        <v>6</v>
      </c>
      <c r="G262" s="381">
        <v>60</v>
      </c>
      <c r="H262" s="381">
        <f>(8-1-0.75*2)*60*E262-J262-8*0.12*60</f>
        <v>57.900000000000006</v>
      </c>
      <c r="I262" s="381">
        <v>14</v>
      </c>
      <c r="J262" s="381">
        <f>(8-1-0.75*2)*0.65*60*E262</f>
        <v>214.5</v>
      </c>
      <c r="K262" s="381">
        <v>2.4700000000000002</v>
      </c>
      <c r="L262" s="381">
        <v>2.4700000000000002</v>
      </c>
      <c r="M262" s="381">
        <v>10</v>
      </c>
      <c r="N262" s="381">
        <f>D262/E262</f>
        <v>1</v>
      </c>
      <c r="O262" s="485">
        <v>0</v>
      </c>
      <c r="P262" s="485">
        <v>30</v>
      </c>
      <c r="Q262" s="483">
        <v>60</v>
      </c>
      <c r="R262" s="381">
        <v>0.48</v>
      </c>
      <c r="S262" s="208">
        <f>ROUND((K262*H262+1.3*K262*J262+R262*G262),4)</f>
        <v>860.57249999999999</v>
      </c>
      <c r="T262" s="208">
        <f>ROUND((L262*H262+1.3*L262*J262+R262*G262),4)</f>
        <v>860.57249999999999</v>
      </c>
      <c r="U262" s="208">
        <f>ROUND((L262*H262+1.3*L262*J262+R262*G262),4)</f>
        <v>860.57249999999999</v>
      </c>
      <c r="V262" s="208">
        <f>ROUND((K262*I262+1.3*K262*M262+R262*F262),4)</f>
        <v>69.569999999999993</v>
      </c>
      <c r="W262" s="208">
        <f>ROUND((L262*I262+1.3*L262*M262+R262*F262),4)</f>
        <v>69.569999999999993</v>
      </c>
      <c r="X262" s="208">
        <f>ROUND((L262*I262+1.3*L262*M262+R262*F262),4)</f>
        <v>69.569999999999993</v>
      </c>
      <c r="Y262" s="404">
        <f>ROUND((O262*S262*E262*N262/1000000),4)</f>
        <v>0</v>
      </c>
      <c r="Z262" s="404">
        <f>ROUND((P262*T262*E262*N262/1000000),4)</f>
        <v>2.58E-2</v>
      </c>
      <c r="AA262" s="404">
        <f>ROUND((Q262*U262*E262*N262/1000000),4)</f>
        <v>5.16E-2</v>
      </c>
      <c r="AB262" s="937" t="s">
        <v>48</v>
      </c>
      <c r="AC262" s="938" t="s">
        <v>49</v>
      </c>
      <c r="AD262" s="939">
        <f>ROUND((((W262*D262)/1800)*0.8),4)</f>
        <v>3.09E-2</v>
      </c>
      <c r="AE262" s="939">
        <f>ROUND(((Y262+Z262+AA262)*0.8),4)</f>
        <v>6.1899999999999997E-2</v>
      </c>
      <c r="AF262" s="61"/>
      <c r="AG262" s="61"/>
      <c r="AH262" s="61"/>
      <c r="AI262" s="61"/>
    </row>
    <row r="263" spans="1:35" s="417" customFormat="1" ht="15" customHeight="1" x14ac:dyDescent="0.2">
      <c r="A263" s="561" t="s">
        <v>492</v>
      </c>
      <c r="B263" s="487" t="s">
        <v>359</v>
      </c>
      <c r="C263" s="414"/>
      <c r="D263" s="400"/>
      <c r="E263" s="400"/>
      <c r="F263" s="400"/>
      <c r="G263" s="400"/>
      <c r="H263" s="400"/>
      <c r="I263" s="400"/>
      <c r="J263" s="400"/>
      <c r="K263" s="400"/>
      <c r="L263" s="400"/>
      <c r="M263" s="400"/>
      <c r="N263" s="400"/>
      <c r="O263" s="400"/>
      <c r="P263" s="400"/>
      <c r="Q263" s="400"/>
      <c r="R263" s="488"/>
      <c r="S263" s="407"/>
      <c r="T263" s="407"/>
      <c r="U263" s="407"/>
      <c r="V263" s="407"/>
      <c r="W263" s="407"/>
      <c r="X263" s="407"/>
      <c r="Y263" s="407"/>
      <c r="Z263" s="407"/>
      <c r="AA263" s="407"/>
      <c r="AB263" s="937" t="s">
        <v>51</v>
      </c>
      <c r="AC263" s="938" t="s">
        <v>52</v>
      </c>
      <c r="AD263" s="939">
        <f>ROUND((((W262*D262)/1800)*0.13),4)</f>
        <v>5.0000000000000001E-3</v>
      </c>
      <c r="AE263" s="939">
        <f>ROUND(((Y262+Z262+AA262)*0.13),4)</f>
        <v>1.01E-2</v>
      </c>
      <c r="AF263" s="61"/>
      <c r="AG263" s="61"/>
      <c r="AH263" s="61"/>
      <c r="AI263" s="61"/>
    </row>
    <row r="264" spans="1:35" s="417" customFormat="1" ht="15" customHeight="1" x14ac:dyDescent="0.2">
      <c r="A264" s="562"/>
      <c r="B264" s="414" t="s">
        <v>360</v>
      </c>
      <c r="C264" s="415"/>
      <c r="D264" s="400"/>
      <c r="E264" s="400"/>
      <c r="F264" s="400"/>
      <c r="G264" s="400"/>
      <c r="H264" s="400"/>
      <c r="I264" s="400"/>
      <c r="J264" s="400"/>
      <c r="K264" s="400">
        <v>0.19</v>
      </c>
      <c r="L264" s="400">
        <v>0.23</v>
      </c>
      <c r="M264" s="400"/>
      <c r="N264" s="400"/>
      <c r="O264" s="400"/>
      <c r="P264" s="400"/>
      <c r="Q264" s="400"/>
      <c r="R264" s="482">
        <v>9.7000000000000003E-2</v>
      </c>
      <c r="S264" s="208">
        <f>ROUND((K264*H262+1.3*K264*J262+R264*G262),4)</f>
        <v>69.802499999999995</v>
      </c>
      <c r="T264" s="208">
        <f>ROUND((L264*0.9*H262+1.3*L264*0.9*J262+R264*G262),4)</f>
        <v>75.527299999999997</v>
      </c>
      <c r="U264" s="208">
        <f>ROUND((L264*H262+1.3*L264*J262+R264*G262),4)</f>
        <v>83.272499999999994</v>
      </c>
      <c r="V264" s="208">
        <f>ROUND((K264*I262+1.3*K264*M262+R264*F262),4)</f>
        <v>5.7119999999999997</v>
      </c>
      <c r="W264" s="208">
        <f>ROUND((L264*0.9*I262+1.3*L264*0.9*M262+R264*F262),4)</f>
        <v>6.1710000000000003</v>
      </c>
      <c r="X264" s="208">
        <f>ROUND((L264*I262+1.3*L264*M262+R264*F262),4)</f>
        <v>6.7919999999999998</v>
      </c>
      <c r="Y264" s="404">
        <f>ROUND((O262*S264*E262*N262/1000000),4)</f>
        <v>0</v>
      </c>
      <c r="Z264" s="404">
        <f>ROUND((P262*T264*E262*N262/1000000),4)</f>
        <v>2.3E-3</v>
      </c>
      <c r="AA264" s="404">
        <f>ROUND((Q262*U264*E262*N262/1000000),4)</f>
        <v>5.0000000000000001E-3</v>
      </c>
      <c r="AB264" s="937" t="s">
        <v>56</v>
      </c>
      <c r="AC264" s="938" t="s">
        <v>57</v>
      </c>
      <c r="AD264" s="939">
        <f>ROUND((((W264*D262)/1800)),4)</f>
        <v>3.3999999999999998E-3</v>
      </c>
      <c r="AE264" s="939">
        <f>ROUND(((Y264+Z264+AA264)),5)</f>
        <v>7.3000000000000001E-3</v>
      </c>
      <c r="AF264" s="61"/>
      <c r="AG264" s="61"/>
      <c r="AH264" s="61"/>
      <c r="AI264" s="61"/>
    </row>
    <row r="265" spans="1:35" s="417" customFormat="1" ht="15" customHeight="1" x14ac:dyDescent="0.2">
      <c r="A265" s="562"/>
      <c r="B265" s="414"/>
      <c r="C265" s="414"/>
      <c r="D265" s="400"/>
      <c r="E265" s="400"/>
      <c r="F265" s="400"/>
      <c r="G265" s="400"/>
      <c r="H265" s="400"/>
      <c r="I265" s="400"/>
      <c r="J265" s="400"/>
      <c r="K265" s="400">
        <v>0.43</v>
      </c>
      <c r="L265" s="400">
        <v>0.51</v>
      </c>
      <c r="M265" s="400"/>
      <c r="N265" s="400"/>
      <c r="O265" s="400"/>
      <c r="P265" s="400"/>
      <c r="Q265" s="400"/>
      <c r="R265" s="482">
        <v>0.3</v>
      </c>
      <c r="S265" s="208">
        <f>ROUND((K265*H262+1.3*K265*J262+R265*G262),4)</f>
        <v>162.80250000000001</v>
      </c>
      <c r="T265" s="208">
        <f>ROUND((L265*0.9*H262+1.3*L265*0.9*J262+R265*G262),4)</f>
        <v>172.56829999999999</v>
      </c>
      <c r="U265" s="208">
        <f>ROUND((L265*H262+1.3*L265*J262+R265*G262),4)</f>
        <v>189.74250000000001</v>
      </c>
      <c r="V265" s="208">
        <f>ROUND((K265*I262+1.3*K265*M262+R265*F262),4)</f>
        <v>13.41</v>
      </c>
      <c r="W265" s="208">
        <f>ROUND((L265*0.9*I262+1.3*L265*0.9*M262+R265*F262),4)</f>
        <v>14.193</v>
      </c>
      <c r="X265" s="208">
        <f>ROUND((L265*I262+1.3*M262+R265*F262),4)</f>
        <v>21.94</v>
      </c>
      <c r="Y265" s="404">
        <f>ROUND((O262*S265*E262*N262/1000000),4)</f>
        <v>0</v>
      </c>
      <c r="Z265" s="404">
        <f>ROUND((P262*T265*E262*N262/1000000),4)</f>
        <v>5.1999999999999998E-3</v>
      </c>
      <c r="AA265" s="404">
        <f>ROUND((Q262*U265*E262*N262/1000000),4)</f>
        <v>1.14E-2</v>
      </c>
      <c r="AB265" s="937" t="s">
        <v>177</v>
      </c>
      <c r="AC265" s="938" t="s">
        <v>178</v>
      </c>
      <c r="AD265" s="939">
        <f>ROUND((((W265*D262)/1800)),4)</f>
        <v>7.9000000000000008E-3</v>
      </c>
      <c r="AE265" s="939">
        <f>ROUND(((Y265+Z265+AA265)),4)</f>
        <v>1.66E-2</v>
      </c>
      <c r="AF265" s="61"/>
      <c r="AG265" s="61"/>
      <c r="AH265" s="61"/>
      <c r="AI265" s="61"/>
    </row>
    <row r="266" spans="1:35" s="417" customFormat="1" ht="15" customHeight="1" x14ac:dyDescent="0.2">
      <c r="A266" s="562"/>
      <c r="B266" s="414"/>
      <c r="C266" s="414"/>
      <c r="D266" s="400"/>
      <c r="E266" s="400"/>
      <c r="F266" s="400"/>
      <c r="G266" s="400"/>
      <c r="H266" s="400"/>
      <c r="I266" s="400"/>
      <c r="J266" s="400"/>
      <c r="K266" s="400">
        <v>0.27</v>
      </c>
      <c r="L266" s="400">
        <v>0.41</v>
      </c>
      <c r="M266" s="400"/>
      <c r="N266" s="400"/>
      <c r="O266" s="400"/>
      <c r="P266" s="400"/>
      <c r="Q266" s="400"/>
      <c r="R266" s="482">
        <v>0.06</v>
      </c>
      <c r="S266" s="208">
        <f>ROUND((K266*H262+1.3*K266*J262+R266*G262),4)</f>
        <v>94.522499999999994</v>
      </c>
      <c r="T266" s="208">
        <f>ROUND((L266*0.9*H262+1.3*L266*0.9*J262+R266*G262),4)</f>
        <v>127.8608</v>
      </c>
      <c r="U266" s="208">
        <f>ROUND((L266*H262+1.3*L266*J262+R266*G262),4)</f>
        <v>141.66749999999999</v>
      </c>
      <c r="V266" s="208">
        <f>ROUND((K266*I262+1.3*K266*M262+R266*F262),4)</f>
        <v>7.65</v>
      </c>
      <c r="W266" s="208">
        <f>ROUND((L266*0.9*I262+1.3*L266*0.9*M262+R266*F262),4)</f>
        <v>10.323</v>
      </c>
      <c r="X266" s="208">
        <f>ROUND((L266*I262+1.3*L266*M262+R266*F262),4)</f>
        <v>11.43</v>
      </c>
      <c r="Y266" s="404">
        <f>ROUND((O262*S266*E262*N262/1000000),4)</f>
        <v>0</v>
      </c>
      <c r="Z266" s="404">
        <f>ROUND((P262*T266*E262*N262/1000000),4)</f>
        <v>3.8E-3</v>
      </c>
      <c r="AA266" s="404">
        <f>ROUND((Q262*U266*E262*N262/1000000),4)</f>
        <v>8.5000000000000006E-3</v>
      </c>
      <c r="AB266" s="937" t="s">
        <v>61</v>
      </c>
      <c r="AC266" s="938" t="s">
        <v>62</v>
      </c>
      <c r="AD266" s="939">
        <f>ROUND((((W266*D262)/1800)),4)</f>
        <v>5.7000000000000002E-3</v>
      </c>
      <c r="AE266" s="939">
        <f>ROUND(((Y266+Z266+AA266)),4)</f>
        <v>1.23E-2</v>
      </c>
      <c r="AF266" s="61"/>
      <c r="AG266" s="61"/>
      <c r="AH266" s="61"/>
      <c r="AI266" s="61"/>
    </row>
    <row r="267" spans="1:35" s="417" customFormat="1" ht="15" customHeight="1" x14ac:dyDescent="0.2">
      <c r="A267" s="513"/>
      <c r="B267" s="416"/>
      <c r="C267" s="416"/>
      <c r="D267" s="401"/>
      <c r="E267" s="401"/>
      <c r="F267" s="401"/>
      <c r="G267" s="401"/>
      <c r="H267" s="401"/>
      <c r="I267" s="401"/>
      <c r="J267" s="401"/>
      <c r="K267" s="401">
        <v>1.29</v>
      </c>
      <c r="L267" s="401">
        <v>1.57</v>
      </c>
      <c r="M267" s="401"/>
      <c r="N267" s="401"/>
      <c r="O267" s="401"/>
      <c r="P267" s="401"/>
      <c r="Q267" s="401"/>
      <c r="R267" s="482">
        <v>2.4</v>
      </c>
      <c r="S267" s="175">
        <f>ROUND((K267*H262+1.3*K267*J262+R267*G262),4)</f>
        <v>578.40750000000003</v>
      </c>
      <c r="T267" s="175">
        <f>ROUND((L267*0.9*H262+1.3*L267*0.9*J262+R267*G262),4)</f>
        <v>619.82780000000002</v>
      </c>
      <c r="U267" s="175">
        <f>ROUND((L267*H262+1.3*L267*J262+R267*G262),4)</f>
        <v>672.69749999999999</v>
      </c>
      <c r="V267" s="175">
        <f>ROUND((K267*I262+1.3*K267*M262+R267*F262),4)</f>
        <v>49.23</v>
      </c>
      <c r="W267" s="175">
        <f>ROUND((L267*0.9*I262+1.3*L267*0.9*M262+R267*F262),4)</f>
        <v>52.551000000000002</v>
      </c>
      <c r="X267" s="175">
        <f>ROUND((L267*I262+1.3*L267*M262+R267*F262),4)</f>
        <v>56.79</v>
      </c>
      <c r="Y267" s="489">
        <f>ROUND((O262*S267*E262*N262/1000000),4)</f>
        <v>0</v>
      </c>
      <c r="Z267" s="489">
        <f>ROUND((P262*T267*E262*N262/1000000),4)</f>
        <v>1.8599999999999998E-2</v>
      </c>
      <c r="AA267" s="489">
        <f>ROUND((Q262*U267*E262*N262/1000000),4)</f>
        <v>4.0399999999999998E-2</v>
      </c>
      <c r="AB267" s="937" t="s">
        <v>65</v>
      </c>
      <c r="AC267" s="938" t="s">
        <v>66</v>
      </c>
      <c r="AD267" s="939">
        <f>ROUND((((W267*D262)/1800)),4)</f>
        <v>2.92E-2</v>
      </c>
      <c r="AE267" s="939">
        <f>ROUND(((Y267+Z267+AA267)),4)</f>
        <v>5.8999999999999997E-2</v>
      </c>
      <c r="AF267" s="61">
        <f>SUM(AD262:AD267)</f>
        <v>8.2100000000000006E-2</v>
      </c>
      <c r="AG267" s="61">
        <f>SUM(AE262:AE267)</f>
        <v>0.16720000000000002</v>
      </c>
      <c r="AH267" s="61"/>
      <c r="AI267" s="61"/>
    </row>
    <row r="268" spans="1:35" s="417" customFormat="1" ht="15" customHeight="1" x14ac:dyDescent="0.2">
      <c r="A268" s="1284" t="s">
        <v>698</v>
      </c>
      <c r="B268" s="1437"/>
      <c r="C268" s="1438"/>
      <c r="D268" s="1438"/>
      <c r="E268" s="1438"/>
      <c r="F268" s="1438"/>
      <c r="G268" s="1438"/>
      <c r="H268" s="1438"/>
      <c r="I268" s="1438"/>
      <c r="J268" s="1438"/>
      <c r="K268" s="1438"/>
      <c r="L268" s="1438"/>
      <c r="M268" s="1438"/>
      <c r="N268" s="1438"/>
      <c r="O268" s="1438"/>
      <c r="P268" s="1438"/>
      <c r="Q268" s="1438"/>
      <c r="R268" s="1438"/>
      <c r="S268" s="1438"/>
      <c r="T268" s="1438"/>
      <c r="U268" s="1438"/>
      <c r="V268" s="1438"/>
      <c r="W268" s="1438"/>
      <c r="X268" s="1438"/>
      <c r="Y268" s="1438"/>
      <c r="Z268" s="1438"/>
      <c r="AA268" s="1438"/>
      <c r="AB268" s="1438"/>
      <c r="AC268" s="1438"/>
      <c r="AD268" s="1438"/>
      <c r="AE268" s="1439"/>
      <c r="AF268" s="61"/>
      <c r="AG268" s="61"/>
      <c r="AH268" s="61"/>
      <c r="AI268" s="61"/>
    </row>
    <row r="269" spans="1:35" s="417" customFormat="1" ht="15" customHeight="1" x14ac:dyDescent="0.2">
      <c r="A269" s="560" t="s">
        <v>557</v>
      </c>
      <c r="B269" s="486" t="s">
        <v>343</v>
      </c>
      <c r="C269" s="413">
        <v>4</v>
      </c>
      <c r="D269" s="381">
        <v>1</v>
      </c>
      <c r="E269" s="381">
        <v>1</v>
      </c>
      <c r="F269" s="381">
        <v>6</v>
      </c>
      <c r="G269" s="381">
        <v>60</v>
      </c>
      <c r="H269" s="381">
        <f>(8-1-0.75*2)*60*E269-J269-8*0.12*60</f>
        <v>57.900000000000006</v>
      </c>
      <c r="I269" s="381">
        <v>14</v>
      </c>
      <c r="J269" s="381">
        <f>(8-1-0.75*2)*0.65*60*E269</f>
        <v>214.5</v>
      </c>
      <c r="K269" s="381">
        <v>2.4700000000000002</v>
      </c>
      <c r="L269" s="381">
        <v>2.4700000000000002</v>
      </c>
      <c r="M269" s="381">
        <v>10</v>
      </c>
      <c r="N269" s="381">
        <f>D269/E269</f>
        <v>1</v>
      </c>
      <c r="O269" s="485">
        <v>0</v>
      </c>
      <c r="P269" s="485">
        <v>30</v>
      </c>
      <c r="Q269" s="483">
        <v>60</v>
      </c>
      <c r="R269" s="381">
        <v>0.48</v>
      </c>
      <c r="S269" s="208">
        <f>ROUND((K269*H269+1.3*K269*J269+R269*G269),4)</f>
        <v>860.57249999999999</v>
      </c>
      <c r="T269" s="208">
        <f>ROUND((L269*H269+1.3*L269*J269+R269*G269),4)</f>
        <v>860.57249999999999</v>
      </c>
      <c r="U269" s="208">
        <f>ROUND((L269*H269+1.3*L269*J269+R269*G269),4)</f>
        <v>860.57249999999999</v>
      </c>
      <c r="V269" s="208">
        <f>ROUND((K269*I269+1.3*K269*M269+R269*F269),4)</f>
        <v>69.569999999999993</v>
      </c>
      <c r="W269" s="208">
        <f>ROUND((L269*I269+1.3*L269*M269+R269*F269),4)</f>
        <v>69.569999999999993</v>
      </c>
      <c r="X269" s="208">
        <f>ROUND((L269*I269+1.3*L269*M269+R269*F269),4)</f>
        <v>69.569999999999993</v>
      </c>
      <c r="Y269" s="404">
        <f>ROUND((O269*S269*E269*N269/1000000),4)</f>
        <v>0</v>
      </c>
      <c r="Z269" s="404">
        <f>ROUND((P269*T269*E269*N269/1000000),4)</f>
        <v>2.58E-2</v>
      </c>
      <c r="AA269" s="404">
        <f>ROUND((Q269*U269*E269*N269/1000000),4)</f>
        <v>5.16E-2</v>
      </c>
      <c r="AB269" s="937" t="s">
        <v>48</v>
      </c>
      <c r="AC269" s="938" t="s">
        <v>49</v>
      </c>
      <c r="AD269" s="939">
        <f>ROUND((((W269*D269)/1800)*0.8),4)</f>
        <v>3.09E-2</v>
      </c>
      <c r="AE269" s="939">
        <f>ROUND(((Y269+Z269+AA269)*0.8),4)</f>
        <v>6.1899999999999997E-2</v>
      </c>
      <c r="AF269" s="61"/>
      <c r="AG269" s="61"/>
      <c r="AH269" s="61"/>
      <c r="AI269" s="61"/>
    </row>
    <row r="270" spans="1:35" s="417" customFormat="1" ht="15" customHeight="1" x14ac:dyDescent="0.2">
      <c r="A270" s="561" t="s">
        <v>492</v>
      </c>
      <c r="B270" s="487" t="s">
        <v>359</v>
      </c>
      <c r="C270" s="414"/>
      <c r="D270" s="400"/>
      <c r="E270" s="400"/>
      <c r="F270" s="400"/>
      <c r="G270" s="400"/>
      <c r="H270" s="400"/>
      <c r="I270" s="400"/>
      <c r="J270" s="400"/>
      <c r="K270" s="400"/>
      <c r="L270" s="400"/>
      <c r="M270" s="400"/>
      <c r="N270" s="400"/>
      <c r="O270" s="400"/>
      <c r="P270" s="400"/>
      <c r="Q270" s="400"/>
      <c r="R270" s="488"/>
      <c r="S270" s="407"/>
      <c r="T270" s="407"/>
      <c r="U270" s="407"/>
      <c r="V270" s="407"/>
      <c r="W270" s="407"/>
      <c r="X270" s="407"/>
      <c r="Y270" s="407"/>
      <c r="Z270" s="407"/>
      <c r="AA270" s="407"/>
      <c r="AB270" s="937" t="s">
        <v>51</v>
      </c>
      <c r="AC270" s="938" t="s">
        <v>52</v>
      </c>
      <c r="AD270" s="939">
        <f>ROUND((((W269*D269)/1800)*0.13),4)</f>
        <v>5.0000000000000001E-3</v>
      </c>
      <c r="AE270" s="939">
        <f>ROUND(((Y269+Z269+AA269)*0.13),4)</f>
        <v>1.01E-2</v>
      </c>
      <c r="AF270" s="61"/>
      <c r="AG270" s="61"/>
      <c r="AH270" s="61"/>
      <c r="AI270" s="61"/>
    </row>
    <row r="271" spans="1:35" s="417" customFormat="1" ht="15" customHeight="1" x14ac:dyDescent="0.2">
      <c r="A271" s="562"/>
      <c r="B271" s="414" t="s">
        <v>360</v>
      </c>
      <c r="C271" s="415"/>
      <c r="D271" s="400"/>
      <c r="E271" s="400"/>
      <c r="F271" s="400"/>
      <c r="G271" s="400"/>
      <c r="H271" s="400"/>
      <c r="I271" s="400"/>
      <c r="J271" s="400"/>
      <c r="K271" s="400">
        <v>0.19</v>
      </c>
      <c r="L271" s="400">
        <v>0.23</v>
      </c>
      <c r="M271" s="400"/>
      <c r="N271" s="400"/>
      <c r="O271" s="400"/>
      <c r="P271" s="400"/>
      <c r="Q271" s="400"/>
      <c r="R271" s="482">
        <v>9.7000000000000003E-2</v>
      </c>
      <c r="S271" s="208">
        <f>ROUND((K271*H269+1.3*K271*J269+R271*G269),4)</f>
        <v>69.802499999999995</v>
      </c>
      <c r="T271" s="208">
        <f>ROUND((L271*0.9*H269+1.3*L271*0.9*J269+R271*G269),4)</f>
        <v>75.527299999999997</v>
      </c>
      <c r="U271" s="208">
        <f>ROUND((L271*H269+1.3*L271*J269+R271*G269),4)</f>
        <v>83.272499999999994</v>
      </c>
      <c r="V271" s="208">
        <f>ROUND((K271*I269+1.3*K271*M269+R271*F269),4)</f>
        <v>5.7119999999999997</v>
      </c>
      <c r="W271" s="208">
        <f>ROUND((L271*0.9*I269+1.3*L271*0.9*M269+R271*F269),4)</f>
        <v>6.1710000000000003</v>
      </c>
      <c r="X271" s="208">
        <f>ROUND((L271*I269+1.3*L271*M269+R271*F269),4)</f>
        <v>6.7919999999999998</v>
      </c>
      <c r="Y271" s="404">
        <f>ROUND((O269*S271*E269*N269/1000000),4)</f>
        <v>0</v>
      </c>
      <c r="Z271" s="404">
        <f>ROUND((P269*T271*E269*N269/1000000),4)</f>
        <v>2.3E-3</v>
      </c>
      <c r="AA271" s="404">
        <f>ROUND((Q269*U271*E269*N269/1000000),4)</f>
        <v>5.0000000000000001E-3</v>
      </c>
      <c r="AB271" s="937" t="s">
        <v>56</v>
      </c>
      <c r="AC271" s="938" t="s">
        <v>57</v>
      </c>
      <c r="AD271" s="939">
        <f>ROUND((((W271*D269)/1800)),4)</f>
        <v>3.3999999999999998E-3</v>
      </c>
      <c r="AE271" s="939">
        <f>ROUND(((Y271+Z271+AA271)),5)</f>
        <v>7.3000000000000001E-3</v>
      </c>
      <c r="AF271" s="61"/>
      <c r="AG271" s="61"/>
      <c r="AH271" s="61"/>
      <c r="AI271" s="61"/>
    </row>
    <row r="272" spans="1:35" s="417" customFormat="1" ht="15" customHeight="1" x14ac:dyDescent="0.2">
      <c r="A272" s="562"/>
      <c r="B272" s="414"/>
      <c r="C272" s="414"/>
      <c r="D272" s="400"/>
      <c r="E272" s="400"/>
      <c r="F272" s="400"/>
      <c r="G272" s="400"/>
      <c r="H272" s="400"/>
      <c r="I272" s="400"/>
      <c r="J272" s="400"/>
      <c r="K272" s="400">
        <v>0.43</v>
      </c>
      <c r="L272" s="400">
        <v>0.51</v>
      </c>
      <c r="M272" s="400"/>
      <c r="N272" s="400"/>
      <c r="O272" s="400"/>
      <c r="P272" s="400"/>
      <c r="Q272" s="400"/>
      <c r="R272" s="482">
        <v>0.3</v>
      </c>
      <c r="S272" s="208">
        <f>ROUND((K272*H269+1.3*K272*J269+R272*G269),4)</f>
        <v>162.80250000000001</v>
      </c>
      <c r="T272" s="208">
        <f>ROUND((L272*0.9*H269+1.3*L272*0.9*J269+R272*G269),4)</f>
        <v>172.56829999999999</v>
      </c>
      <c r="U272" s="208">
        <f>ROUND((L272*H269+1.3*L272*J269+R272*G269),4)</f>
        <v>189.74250000000001</v>
      </c>
      <c r="V272" s="208">
        <f>ROUND((K272*I269+1.3*K272*M269+R272*F269),4)</f>
        <v>13.41</v>
      </c>
      <c r="W272" s="208">
        <f>ROUND((L272*0.9*I269+1.3*L272*0.9*M269+R272*F269),4)</f>
        <v>14.193</v>
      </c>
      <c r="X272" s="208">
        <f>ROUND((L272*I269+1.3*M269+R272*F269),4)</f>
        <v>21.94</v>
      </c>
      <c r="Y272" s="404">
        <f>ROUND((O269*S272*E269*N269/1000000),4)</f>
        <v>0</v>
      </c>
      <c r="Z272" s="404">
        <f>ROUND((P269*T272*E269*N269/1000000),4)</f>
        <v>5.1999999999999998E-3</v>
      </c>
      <c r="AA272" s="404">
        <f>ROUND((Q269*U272*E269*N269/1000000),4)</f>
        <v>1.14E-2</v>
      </c>
      <c r="AB272" s="937" t="s">
        <v>177</v>
      </c>
      <c r="AC272" s="938" t="s">
        <v>178</v>
      </c>
      <c r="AD272" s="939">
        <f>ROUND((((W272*D269)/1800)),4)</f>
        <v>7.9000000000000008E-3</v>
      </c>
      <c r="AE272" s="939">
        <f>ROUND(((Y272+Z272+AA272)),4)</f>
        <v>1.66E-2</v>
      </c>
      <c r="AF272" s="61"/>
      <c r="AG272" s="61"/>
      <c r="AH272" s="61"/>
      <c r="AI272" s="61"/>
    </row>
    <row r="273" spans="1:35" s="417" customFormat="1" ht="15" customHeight="1" x14ac:dyDescent="0.2">
      <c r="A273" s="562"/>
      <c r="B273" s="414"/>
      <c r="C273" s="414"/>
      <c r="D273" s="400"/>
      <c r="E273" s="400"/>
      <c r="F273" s="400"/>
      <c r="G273" s="400"/>
      <c r="H273" s="400"/>
      <c r="I273" s="400"/>
      <c r="J273" s="400"/>
      <c r="K273" s="400">
        <v>0.27</v>
      </c>
      <c r="L273" s="400">
        <v>0.41</v>
      </c>
      <c r="M273" s="400"/>
      <c r="N273" s="400"/>
      <c r="O273" s="400"/>
      <c r="P273" s="400"/>
      <c r="Q273" s="400"/>
      <c r="R273" s="482">
        <v>0.06</v>
      </c>
      <c r="S273" s="208">
        <f>ROUND((K273*H269+1.3*K273*J269+R273*G269),4)</f>
        <v>94.522499999999994</v>
      </c>
      <c r="T273" s="208">
        <f>ROUND((L273*0.9*H269+1.3*L273*0.9*J269+R273*G269),4)</f>
        <v>127.8608</v>
      </c>
      <c r="U273" s="208">
        <f>ROUND((L273*H269+1.3*L273*J269+R273*G269),4)</f>
        <v>141.66749999999999</v>
      </c>
      <c r="V273" s="208">
        <f>ROUND((K273*I269+1.3*K273*M269+R273*F269),4)</f>
        <v>7.65</v>
      </c>
      <c r="W273" s="208">
        <f>ROUND((L273*0.9*I269+1.3*L273*0.9*M269+R273*F269),4)</f>
        <v>10.323</v>
      </c>
      <c r="X273" s="208">
        <f>ROUND((L273*I269+1.3*L273*M269+R273*F269),4)</f>
        <v>11.43</v>
      </c>
      <c r="Y273" s="404">
        <f>ROUND((O269*S273*E269*N269/1000000),4)</f>
        <v>0</v>
      </c>
      <c r="Z273" s="404">
        <f>ROUND((P269*T273*E269*N269/1000000),4)</f>
        <v>3.8E-3</v>
      </c>
      <c r="AA273" s="404">
        <f>ROUND((Q269*U273*E269*N269/1000000),4)</f>
        <v>8.5000000000000006E-3</v>
      </c>
      <c r="AB273" s="937" t="s">
        <v>61</v>
      </c>
      <c r="AC273" s="938" t="s">
        <v>62</v>
      </c>
      <c r="AD273" s="939">
        <f>ROUND((((W273*D269)/1800)),4)</f>
        <v>5.7000000000000002E-3</v>
      </c>
      <c r="AE273" s="939">
        <f>ROUND(((Y273+Z273+AA273)),4)</f>
        <v>1.23E-2</v>
      </c>
      <c r="AF273" s="61"/>
      <c r="AG273" s="61"/>
      <c r="AH273" s="61"/>
      <c r="AI273" s="61"/>
    </row>
    <row r="274" spans="1:35" s="417" customFormat="1" ht="15" customHeight="1" x14ac:dyDescent="0.2">
      <c r="A274" s="513"/>
      <c r="B274" s="416"/>
      <c r="C274" s="416"/>
      <c r="D274" s="401"/>
      <c r="E274" s="401"/>
      <c r="F274" s="401"/>
      <c r="G274" s="401"/>
      <c r="H274" s="401"/>
      <c r="I274" s="401"/>
      <c r="J274" s="401"/>
      <c r="K274" s="401">
        <v>1.29</v>
      </c>
      <c r="L274" s="401">
        <v>1.57</v>
      </c>
      <c r="M274" s="401"/>
      <c r="N274" s="401"/>
      <c r="O274" s="401"/>
      <c r="P274" s="401"/>
      <c r="Q274" s="401"/>
      <c r="R274" s="482">
        <v>2.4</v>
      </c>
      <c r="S274" s="175">
        <f>ROUND((K274*H269+1.3*K274*J269+R274*G269),4)</f>
        <v>578.40750000000003</v>
      </c>
      <c r="T274" s="175">
        <f>ROUND((L274*0.9*H269+1.3*L274*0.9*J269+R274*G269),4)</f>
        <v>619.82780000000002</v>
      </c>
      <c r="U274" s="175">
        <f>ROUND((L274*H269+1.3*L274*J269+R274*G269),4)</f>
        <v>672.69749999999999</v>
      </c>
      <c r="V274" s="175">
        <f>ROUND((K274*I269+1.3*K274*M269+R274*F269),4)</f>
        <v>49.23</v>
      </c>
      <c r="W274" s="175">
        <f>ROUND((L274*0.9*I269+1.3*L274*0.9*M269+R274*F269),4)</f>
        <v>52.551000000000002</v>
      </c>
      <c r="X274" s="175">
        <f>ROUND((L274*I269+1.3*L274*M269+R274*F269),4)</f>
        <v>56.79</v>
      </c>
      <c r="Y274" s="489">
        <f>ROUND((O269*S274*E269*N269/1000000),4)</f>
        <v>0</v>
      </c>
      <c r="Z274" s="489">
        <f>ROUND((P269*T274*E269*N269/1000000),4)</f>
        <v>1.8599999999999998E-2</v>
      </c>
      <c r="AA274" s="489">
        <f>ROUND((Q269*U274*E269*N269/1000000),4)</f>
        <v>4.0399999999999998E-2</v>
      </c>
      <c r="AB274" s="937" t="s">
        <v>65</v>
      </c>
      <c r="AC274" s="938" t="s">
        <v>66</v>
      </c>
      <c r="AD274" s="939">
        <f>ROUND((((W274*D269)/1800)),4)</f>
        <v>2.92E-2</v>
      </c>
      <c r="AE274" s="939">
        <f>ROUND(((Y274+Z274+AA274)),4)</f>
        <v>5.8999999999999997E-2</v>
      </c>
      <c r="AF274" s="61">
        <f>SUM(AD269:AD274)</f>
        <v>8.2100000000000006E-2</v>
      </c>
      <c r="AG274" s="61">
        <f>SUM(AE269:AE274)</f>
        <v>0.16720000000000002</v>
      </c>
      <c r="AH274" s="61"/>
      <c r="AI274" s="61"/>
    </row>
    <row r="275" spans="1:35" s="417" customFormat="1" ht="15" customHeight="1" x14ac:dyDescent="0.2">
      <c r="A275" s="1284" t="s">
        <v>703</v>
      </c>
      <c r="B275" s="1437"/>
      <c r="C275" s="1438"/>
      <c r="D275" s="1438"/>
      <c r="E275" s="1438"/>
      <c r="F275" s="1438"/>
      <c r="G275" s="1438"/>
      <c r="H275" s="1438"/>
      <c r="I275" s="1438"/>
      <c r="J275" s="1438"/>
      <c r="K275" s="1438"/>
      <c r="L275" s="1438"/>
      <c r="M275" s="1438"/>
      <c r="N275" s="1438"/>
      <c r="O275" s="1438"/>
      <c r="P275" s="1438"/>
      <c r="Q275" s="1438"/>
      <c r="R275" s="1438"/>
      <c r="S275" s="1438"/>
      <c r="T275" s="1438"/>
      <c r="U275" s="1438"/>
      <c r="V275" s="1438"/>
      <c r="W275" s="1438"/>
      <c r="X275" s="1438"/>
      <c r="Y275" s="1438"/>
      <c r="Z275" s="1438"/>
      <c r="AA275" s="1438"/>
      <c r="AB275" s="1438"/>
      <c r="AC275" s="1438"/>
      <c r="AD275" s="1438"/>
      <c r="AE275" s="1439"/>
      <c r="AF275" s="61"/>
      <c r="AG275" s="61"/>
      <c r="AH275" s="61"/>
      <c r="AI275" s="61"/>
    </row>
    <row r="276" spans="1:35" s="417" customFormat="1" ht="15" customHeight="1" x14ac:dyDescent="0.2">
      <c r="A276" s="560" t="s">
        <v>676</v>
      </c>
      <c r="B276" s="486" t="s">
        <v>343</v>
      </c>
      <c r="C276" s="413">
        <v>4</v>
      </c>
      <c r="D276" s="381">
        <v>1</v>
      </c>
      <c r="E276" s="381">
        <v>1</v>
      </c>
      <c r="F276" s="381">
        <v>6</v>
      </c>
      <c r="G276" s="381">
        <v>60</v>
      </c>
      <c r="H276" s="381">
        <f>(8-1-0.75*2)*60*E276-J276-8*0.12*60</f>
        <v>57.900000000000006</v>
      </c>
      <c r="I276" s="381">
        <v>14</v>
      </c>
      <c r="J276" s="381">
        <f>(8-1-0.75*2)*0.65*60*E276</f>
        <v>214.5</v>
      </c>
      <c r="K276" s="381">
        <v>2.4700000000000002</v>
      </c>
      <c r="L276" s="381">
        <v>2.4700000000000002</v>
      </c>
      <c r="M276" s="381">
        <v>10</v>
      </c>
      <c r="N276" s="381">
        <f>D276/E276</f>
        <v>1</v>
      </c>
      <c r="O276" s="485">
        <v>0</v>
      </c>
      <c r="P276" s="485">
        <v>30</v>
      </c>
      <c r="Q276" s="483">
        <v>60</v>
      </c>
      <c r="R276" s="381">
        <v>0.48</v>
      </c>
      <c r="S276" s="208">
        <f>ROUND((K276*H276+1.3*K276*J276+R276*G276),4)</f>
        <v>860.57249999999999</v>
      </c>
      <c r="T276" s="208">
        <f>ROUND((L276*H276+1.3*L276*J276+R276*G276),4)</f>
        <v>860.57249999999999</v>
      </c>
      <c r="U276" s="208">
        <f>ROUND((L276*H276+1.3*L276*J276+R276*G276),4)</f>
        <v>860.57249999999999</v>
      </c>
      <c r="V276" s="208">
        <f>ROUND((K276*I276+1.3*K276*M276+R276*F276),4)</f>
        <v>69.569999999999993</v>
      </c>
      <c r="W276" s="208">
        <f>ROUND((L276*I276+1.3*L276*M276+R276*F276),4)</f>
        <v>69.569999999999993</v>
      </c>
      <c r="X276" s="208">
        <f>ROUND((L276*I276+1.3*L276*M276+R276*F276),4)</f>
        <v>69.569999999999993</v>
      </c>
      <c r="Y276" s="404">
        <f>ROUND((O276*S276*E276*N276/1000000),4)</f>
        <v>0</v>
      </c>
      <c r="Z276" s="404">
        <f>ROUND((P276*T276*E276*N276/1000000),4)</f>
        <v>2.58E-2</v>
      </c>
      <c r="AA276" s="404">
        <f>ROUND((Q276*U276*E276*N276/1000000),4)</f>
        <v>5.16E-2</v>
      </c>
      <c r="AB276" s="937" t="s">
        <v>48</v>
      </c>
      <c r="AC276" s="938" t="s">
        <v>49</v>
      </c>
      <c r="AD276" s="939">
        <f>ROUND((((W276*D276)/1800)*0.8),4)</f>
        <v>3.09E-2</v>
      </c>
      <c r="AE276" s="939">
        <f>ROUND(((Y276+Z276+AA276)*0.8),4)</f>
        <v>6.1899999999999997E-2</v>
      </c>
      <c r="AF276" s="61"/>
      <c r="AG276" s="61"/>
      <c r="AH276" s="61"/>
      <c r="AI276" s="61"/>
    </row>
    <row r="277" spans="1:35" s="417" customFormat="1" ht="15" customHeight="1" x14ac:dyDescent="0.2">
      <c r="A277" s="561" t="s">
        <v>166</v>
      </c>
      <c r="B277" s="487" t="s">
        <v>359</v>
      </c>
      <c r="C277" s="414"/>
      <c r="D277" s="400"/>
      <c r="E277" s="400"/>
      <c r="F277" s="400"/>
      <c r="G277" s="400"/>
      <c r="H277" s="400"/>
      <c r="I277" s="400"/>
      <c r="J277" s="400"/>
      <c r="K277" s="400"/>
      <c r="L277" s="400"/>
      <c r="M277" s="400"/>
      <c r="N277" s="400"/>
      <c r="O277" s="400"/>
      <c r="P277" s="400"/>
      <c r="Q277" s="400"/>
      <c r="R277" s="488"/>
      <c r="S277" s="407"/>
      <c r="T277" s="407"/>
      <c r="U277" s="407"/>
      <c r="V277" s="407"/>
      <c r="W277" s="407"/>
      <c r="X277" s="407"/>
      <c r="Y277" s="407"/>
      <c r="Z277" s="407"/>
      <c r="AA277" s="407"/>
      <c r="AB277" s="937" t="s">
        <v>51</v>
      </c>
      <c r="AC277" s="938" t="s">
        <v>52</v>
      </c>
      <c r="AD277" s="939">
        <f>ROUND((((W276*D276)/1800)*0.13),4)</f>
        <v>5.0000000000000001E-3</v>
      </c>
      <c r="AE277" s="939">
        <f>ROUND(((Y276+Z276+AA276)*0.13),4)</f>
        <v>1.01E-2</v>
      </c>
      <c r="AF277" s="61"/>
      <c r="AG277" s="61"/>
      <c r="AH277" s="61"/>
      <c r="AI277" s="61"/>
    </row>
    <row r="278" spans="1:35" s="417" customFormat="1" ht="15" customHeight="1" x14ac:dyDescent="0.2">
      <c r="A278" s="562"/>
      <c r="B278" s="414" t="s">
        <v>360</v>
      </c>
      <c r="C278" s="415"/>
      <c r="D278" s="400"/>
      <c r="E278" s="400"/>
      <c r="F278" s="400"/>
      <c r="G278" s="400"/>
      <c r="H278" s="400"/>
      <c r="I278" s="400"/>
      <c r="J278" s="400"/>
      <c r="K278" s="400">
        <v>0.19</v>
      </c>
      <c r="L278" s="400">
        <v>0.23</v>
      </c>
      <c r="M278" s="400"/>
      <c r="N278" s="400"/>
      <c r="O278" s="400"/>
      <c r="P278" s="400"/>
      <c r="Q278" s="400"/>
      <c r="R278" s="482">
        <v>9.7000000000000003E-2</v>
      </c>
      <c r="S278" s="208">
        <f>ROUND((K278*H276+1.3*K278*J276+R278*G276),4)</f>
        <v>69.802499999999995</v>
      </c>
      <c r="T278" s="208">
        <f>ROUND((L278*0.9*H276+1.3*L278*0.9*J276+R278*G276),4)</f>
        <v>75.527299999999997</v>
      </c>
      <c r="U278" s="208">
        <f>ROUND((L278*H276+1.3*L278*J276+R278*G276),4)</f>
        <v>83.272499999999994</v>
      </c>
      <c r="V278" s="208">
        <f>ROUND((K278*I276+1.3*K278*M276+R278*F276),4)</f>
        <v>5.7119999999999997</v>
      </c>
      <c r="W278" s="208">
        <f>ROUND((L278*0.9*I276+1.3*L278*0.9*M276+R278*F276),4)</f>
        <v>6.1710000000000003</v>
      </c>
      <c r="X278" s="208">
        <f>ROUND((L278*I276+1.3*L278*M276+R278*F276),4)</f>
        <v>6.7919999999999998</v>
      </c>
      <c r="Y278" s="404">
        <f>ROUND((O276*S278*E276*N276/1000000),4)</f>
        <v>0</v>
      </c>
      <c r="Z278" s="404">
        <f>ROUND((P276*T278*E276*N276/1000000),4)</f>
        <v>2.3E-3</v>
      </c>
      <c r="AA278" s="404">
        <f>ROUND((Q276*U278*E276*N276/1000000),4)</f>
        <v>5.0000000000000001E-3</v>
      </c>
      <c r="AB278" s="937" t="s">
        <v>56</v>
      </c>
      <c r="AC278" s="938" t="s">
        <v>57</v>
      </c>
      <c r="AD278" s="939">
        <f>ROUND((((W278*D276)/1800)),4)</f>
        <v>3.3999999999999998E-3</v>
      </c>
      <c r="AE278" s="939">
        <f>ROUND(((Y278+Z278+AA278)),5)</f>
        <v>7.3000000000000001E-3</v>
      </c>
      <c r="AF278" s="61"/>
      <c r="AG278" s="61"/>
      <c r="AH278" s="61"/>
      <c r="AI278" s="61"/>
    </row>
    <row r="279" spans="1:35" s="417" customFormat="1" ht="15" customHeight="1" x14ac:dyDescent="0.2">
      <c r="A279" s="562"/>
      <c r="B279" s="414"/>
      <c r="C279" s="414"/>
      <c r="D279" s="400"/>
      <c r="E279" s="400"/>
      <c r="F279" s="400"/>
      <c r="G279" s="400"/>
      <c r="H279" s="400"/>
      <c r="I279" s="400"/>
      <c r="J279" s="400"/>
      <c r="K279" s="400">
        <v>0.43</v>
      </c>
      <c r="L279" s="400">
        <v>0.51</v>
      </c>
      <c r="M279" s="400"/>
      <c r="N279" s="400"/>
      <c r="O279" s="400"/>
      <c r="P279" s="400"/>
      <c r="Q279" s="400"/>
      <c r="R279" s="482">
        <v>0.3</v>
      </c>
      <c r="S279" s="208">
        <f>ROUND((K279*H276+1.3*K279*J276+R279*G276),4)</f>
        <v>162.80250000000001</v>
      </c>
      <c r="T279" s="208">
        <f>ROUND((L279*0.9*H276+1.3*L279*0.9*J276+R279*G276),4)</f>
        <v>172.56829999999999</v>
      </c>
      <c r="U279" s="208">
        <f>ROUND((L279*H276+1.3*L279*J276+R279*G276),4)</f>
        <v>189.74250000000001</v>
      </c>
      <c r="V279" s="208">
        <f>ROUND((K279*I276+1.3*K279*M276+R279*F276),4)</f>
        <v>13.41</v>
      </c>
      <c r="W279" s="208">
        <f>ROUND((L279*0.9*I276+1.3*L279*0.9*M276+R279*F276),4)</f>
        <v>14.193</v>
      </c>
      <c r="X279" s="208">
        <f>ROUND((L279*I276+1.3*M276+R279*F276),4)</f>
        <v>21.94</v>
      </c>
      <c r="Y279" s="404">
        <f>ROUND((O276*S279*E276*N276/1000000),4)</f>
        <v>0</v>
      </c>
      <c r="Z279" s="404">
        <f>ROUND((P276*T279*E276*N276/1000000),4)</f>
        <v>5.1999999999999998E-3</v>
      </c>
      <c r="AA279" s="404">
        <f>ROUND((Q276*U279*E276*N276/1000000),4)</f>
        <v>1.14E-2</v>
      </c>
      <c r="AB279" s="937" t="s">
        <v>177</v>
      </c>
      <c r="AC279" s="938" t="s">
        <v>178</v>
      </c>
      <c r="AD279" s="939">
        <f>ROUND((((W279*D276)/1800)),4)</f>
        <v>7.9000000000000008E-3</v>
      </c>
      <c r="AE279" s="939">
        <f>ROUND(((Y279+Z279+AA279)),4)</f>
        <v>1.66E-2</v>
      </c>
      <c r="AF279" s="61"/>
      <c r="AG279" s="61"/>
      <c r="AH279" s="61"/>
      <c r="AI279" s="61"/>
    </row>
    <row r="280" spans="1:35" s="417" customFormat="1" ht="15" customHeight="1" x14ac:dyDescent="0.2">
      <c r="A280" s="562"/>
      <c r="B280" s="414"/>
      <c r="C280" s="414"/>
      <c r="D280" s="400"/>
      <c r="E280" s="400"/>
      <c r="F280" s="400"/>
      <c r="G280" s="400"/>
      <c r="H280" s="400"/>
      <c r="I280" s="400"/>
      <c r="J280" s="400"/>
      <c r="K280" s="400">
        <v>0.27</v>
      </c>
      <c r="L280" s="400">
        <v>0.41</v>
      </c>
      <c r="M280" s="400"/>
      <c r="N280" s="400"/>
      <c r="O280" s="400"/>
      <c r="P280" s="400"/>
      <c r="Q280" s="400"/>
      <c r="R280" s="482">
        <v>0.06</v>
      </c>
      <c r="S280" s="208">
        <f>ROUND((K280*H276+1.3*K280*J276+R280*G276),4)</f>
        <v>94.522499999999994</v>
      </c>
      <c r="T280" s="208">
        <f>ROUND((L280*0.9*H276+1.3*L280*0.9*J276+R280*G276),4)</f>
        <v>127.8608</v>
      </c>
      <c r="U280" s="208">
        <f>ROUND((L280*H276+1.3*L280*J276+R280*G276),4)</f>
        <v>141.66749999999999</v>
      </c>
      <c r="V280" s="208">
        <f>ROUND((K280*I276+1.3*K280*M276+R280*F276),4)</f>
        <v>7.65</v>
      </c>
      <c r="W280" s="208">
        <f>ROUND((L280*0.9*I276+1.3*L280*0.9*M276+R280*F276),4)</f>
        <v>10.323</v>
      </c>
      <c r="X280" s="208">
        <f>ROUND((L280*I276+1.3*L280*M276+R280*F276),4)</f>
        <v>11.43</v>
      </c>
      <c r="Y280" s="404">
        <f>ROUND((O276*S280*E276*N276/1000000),4)</f>
        <v>0</v>
      </c>
      <c r="Z280" s="404">
        <f>ROUND((P276*T280*E276*N276/1000000),4)</f>
        <v>3.8E-3</v>
      </c>
      <c r="AA280" s="404">
        <f>ROUND((Q276*U280*E276*N276/1000000),4)</f>
        <v>8.5000000000000006E-3</v>
      </c>
      <c r="AB280" s="937" t="s">
        <v>61</v>
      </c>
      <c r="AC280" s="938" t="s">
        <v>62</v>
      </c>
      <c r="AD280" s="939">
        <f>ROUND((((W280*D276)/1800)),4)</f>
        <v>5.7000000000000002E-3</v>
      </c>
      <c r="AE280" s="939">
        <f>ROUND(((Y280+Z280+AA280)),4)</f>
        <v>1.23E-2</v>
      </c>
      <c r="AF280" s="61"/>
      <c r="AG280" s="61"/>
      <c r="AH280" s="61"/>
      <c r="AI280" s="61"/>
    </row>
    <row r="281" spans="1:35" s="417" customFormat="1" ht="15" customHeight="1" x14ac:dyDescent="0.2">
      <c r="A281" s="513"/>
      <c r="B281" s="416"/>
      <c r="C281" s="416"/>
      <c r="D281" s="401"/>
      <c r="E281" s="401"/>
      <c r="F281" s="401"/>
      <c r="G281" s="401"/>
      <c r="H281" s="401"/>
      <c r="I281" s="401"/>
      <c r="J281" s="401"/>
      <c r="K281" s="401">
        <v>1.29</v>
      </c>
      <c r="L281" s="401">
        <v>1.57</v>
      </c>
      <c r="M281" s="401"/>
      <c r="N281" s="401"/>
      <c r="O281" s="401"/>
      <c r="P281" s="401"/>
      <c r="Q281" s="401"/>
      <c r="R281" s="482">
        <v>2.4</v>
      </c>
      <c r="S281" s="175">
        <f>ROUND((K281*H276+1.3*K281*J276+R281*G276),4)</f>
        <v>578.40750000000003</v>
      </c>
      <c r="T281" s="175">
        <f>ROUND((L281*0.9*H276+1.3*L281*0.9*J276+R281*G276),4)</f>
        <v>619.82780000000002</v>
      </c>
      <c r="U281" s="175">
        <f>ROUND((L281*H276+1.3*L281*J276+R281*G276),4)</f>
        <v>672.69749999999999</v>
      </c>
      <c r="V281" s="175">
        <f>ROUND((K281*I276+1.3*K281*M276+R281*F276),4)</f>
        <v>49.23</v>
      </c>
      <c r="W281" s="175">
        <f>ROUND((L281*0.9*I276+1.3*L281*0.9*M276+R281*F276),4)</f>
        <v>52.551000000000002</v>
      </c>
      <c r="X281" s="175">
        <f>ROUND((L281*I276+1.3*L281*M276+R281*F276),4)</f>
        <v>56.79</v>
      </c>
      <c r="Y281" s="489">
        <f>ROUND((O276*S281*E276*N276/1000000),4)</f>
        <v>0</v>
      </c>
      <c r="Z281" s="489">
        <f>ROUND((P276*T281*E276*N276/1000000),4)</f>
        <v>1.8599999999999998E-2</v>
      </c>
      <c r="AA281" s="489">
        <f>ROUND((Q276*U281*E276*N276/1000000),4)</f>
        <v>4.0399999999999998E-2</v>
      </c>
      <c r="AB281" s="937" t="s">
        <v>65</v>
      </c>
      <c r="AC281" s="938" t="s">
        <v>66</v>
      </c>
      <c r="AD281" s="939">
        <f>ROUND((((W281*D276)/1800)),4)</f>
        <v>2.92E-2</v>
      </c>
      <c r="AE281" s="939">
        <f>ROUND(((Y281+Z281+AA281)),4)</f>
        <v>5.8999999999999997E-2</v>
      </c>
      <c r="AF281" s="61">
        <f>SUM(AD276:AD281)</f>
        <v>8.2100000000000006E-2</v>
      </c>
      <c r="AG281" s="61">
        <f>SUM(AE276:AE281)</f>
        <v>0.16720000000000002</v>
      </c>
      <c r="AH281" s="61"/>
      <c r="AI281" s="61"/>
    </row>
    <row r="282" spans="1:35" s="417" customFormat="1" ht="15" customHeight="1" x14ac:dyDescent="0.2">
      <c r="A282" s="1284" t="s">
        <v>1015</v>
      </c>
      <c r="B282" s="1437"/>
      <c r="C282" s="1438"/>
      <c r="D282" s="1438"/>
      <c r="E282" s="1438"/>
      <c r="F282" s="1438"/>
      <c r="G282" s="1438"/>
      <c r="H282" s="1438"/>
      <c r="I282" s="1438"/>
      <c r="J282" s="1438"/>
      <c r="K282" s="1438"/>
      <c r="L282" s="1438"/>
      <c r="M282" s="1438"/>
      <c r="N282" s="1438"/>
      <c r="O282" s="1438"/>
      <c r="P282" s="1438"/>
      <c r="Q282" s="1438"/>
      <c r="R282" s="1438"/>
      <c r="S282" s="1438"/>
      <c r="T282" s="1438"/>
      <c r="U282" s="1438"/>
      <c r="V282" s="1438"/>
      <c r="W282" s="1438"/>
      <c r="X282" s="1438"/>
      <c r="Y282" s="1438"/>
      <c r="Z282" s="1438"/>
      <c r="AA282" s="1438"/>
      <c r="AB282" s="1438"/>
      <c r="AC282" s="1438"/>
      <c r="AD282" s="1438"/>
      <c r="AE282" s="1439"/>
      <c r="AF282" s="61"/>
      <c r="AG282" s="61"/>
      <c r="AH282" s="61"/>
      <c r="AI282" s="61"/>
    </row>
    <row r="283" spans="1:35" s="417" customFormat="1" ht="15" customHeight="1" x14ac:dyDescent="0.2">
      <c r="A283" s="560" t="s">
        <v>603</v>
      </c>
      <c r="B283" s="486" t="s">
        <v>343</v>
      </c>
      <c r="C283" s="413">
        <v>4</v>
      </c>
      <c r="D283" s="381">
        <v>1</v>
      </c>
      <c r="E283" s="381">
        <v>1</v>
      </c>
      <c r="F283" s="381">
        <v>6</v>
      </c>
      <c r="G283" s="381">
        <v>60</v>
      </c>
      <c r="H283" s="381">
        <f>(8-1-0.75*2)*60*E283-J283-8*0.12*60</f>
        <v>57.900000000000006</v>
      </c>
      <c r="I283" s="381">
        <v>14</v>
      </c>
      <c r="J283" s="381">
        <f>(8-1-0.75*2)*0.65*60*E283</f>
        <v>214.5</v>
      </c>
      <c r="K283" s="381">
        <v>2.4700000000000002</v>
      </c>
      <c r="L283" s="381">
        <v>2.4700000000000002</v>
      </c>
      <c r="M283" s="381">
        <v>10</v>
      </c>
      <c r="N283" s="381">
        <f>D283/E283</f>
        <v>1</v>
      </c>
      <c r="O283" s="485">
        <v>0</v>
      </c>
      <c r="P283" s="485">
        <v>30</v>
      </c>
      <c r="Q283" s="483">
        <v>60</v>
      </c>
      <c r="R283" s="381">
        <v>0.48</v>
      </c>
      <c r="S283" s="208">
        <f>ROUND((K283*H283+1.3*K283*J283+R283*G283),4)</f>
        <v>860.57249999999999</v>
      </c>
      <c r="T283" s="208">
        <f>ROUND((L283*H283+1.3*L283*J283+R283*G283),4)</f>
        <v>860.57249999999999</v>
      </c>
      <c r="U283" s="208">
        <f>ROUND((L283*H283+1.3*L283*J283+R283*G283),4)</f>
        <v>860.57249999999999</v>
      </c>
      <c r="V283" s="208">
        <f>ROUND((K283*I283+1.3*K283*M283+R283*F283),4)</f>
        <v>69.569999999999993</v>
      </c>
      <c r="W283" s="208">
        <f>ROUND((L283*I283+1.3*L283*M283+R283*F283),4)</f>
        <v>69.569999999999993</v>
      </c>
      <c r="X283" s="208">
        <f>ROUND((L283*I283+1.3*L283*M283+R283*F283),4)</f>
        <v>69.569999999999993</v>
      </c>
      <c r="Y283" s="404">
        <f>ROUND((O283*S283*E283*N283/1000000),4)</f>
        <v>0</v>
      </c>
      <c r="Z283" s="404">
        <f>ROUND((P283*T283*E283*N283/1000000),4)</f>
        <v>2.58E-2</v>
      </c>
      <c r="AA283" s="404">
        <f>ROUND((Q283*U283*E283*N283/1000000),4)</f>
        <v>5.16E-2</v>
      </c>
      <c r="AB283" s="937" t="s">
        <v>48</v>
      </c>
      <c r="AC283" s="938" t="s">
        <v>49</v>
      </c>
      <c r="AD283" s="939">
        <f>ROUND((((W283*D283)/1800)*0.8),4)</f>
        <v>3.09E-2</v>
      </c>
      <c r="AE283" s="939">
        <f>ROUND(((Y283+Z283+AA283)*0.8),4)</f>
        <v>6.1899999999999997E-2</v>
      </c>
      <c r="AF283" s="61"/>
      <c r="AG283" s="61"/>
      <c r="AH283" s="61"/>
      <c r="AI283" s="61"/>
    </row>
    <row r="284" spans="1:35" s="417" customFormat="1" ht="15" customHeight="1" x14ac:dyDescent="0.2">
      <c r="A284" s="561" t="s">
        <v>166</v>
      </c>
      <c r="B284" s="487" t="s">
        <v>359</v>
      </c>
      <c r="C284" s="414"/>
      <c r="D284" s="400"/>
      <c r="E284" s="400"/>
      <c r="F284" s="400"/>
      <c r="G284" s="400"/>
      <c r="H284" s="400"/>
      <c r="I284" s="400"/>
      <c r="J284" s="400"/>
      <c r="K284" s="400"/>
      <c r="L284" s="400"/>
      <c r="M284" s="400"/>
      <c r="N284" s="400"/>
      <c r="O284" s="400"/>
      <c r="P284" s="400"/>
      <c r="Q284" s="400"/>
      <c r="R284" s="488"/>
      <c r="S284" s="407"/>
      <c r="T284" s="407"/>
      <c r="U284" s="407"/>
      <c r="V284" s="407"/>
      <c r="W284" s="407"/>
      <c r="X284" s="407"/>
      <c r="Y284" s="407"/>
      <c r="Z284" s="407"/>
      <c r="AA284" s="407"/>
      <c r="AB284" s="937" t="s">
        <v>51</v>
      </c>
      <c r="AC284" s="938" t="s">
        <v>52</v>
      </c>
      <c r="AD284" s="939">
        <f>ROUND((((W283*D283)/1800)*0.13),4)</f>
        <v>5.0000000000000001E-3</v>
      </c>
      <c r="AE284" s="939">
        <f>ROUND(((Y283+Z283+AA283)*0.13),4)</f>
        <v>1.01E-2</v>
      </c>
      <c r="AF284" s="61"/>
      <c r="AG284" s="61"/>
      <c r="AH284" s="61"/>
      <c r="AI284" s="61"/>
    </row>
    <row r="285" spans="1:35" s="417" customFormat="1" ht="15" customHeight="1" x14ac:dyDescent="0.2">
      <c r="A285" s="562"/>
      <c r="B285" s="414" t="s">
        <v>360</v>
      </c>
      <c r="C285" s="415"/>
      <c r="D285" s="400"/>
      <c r="E285" s="400"/>
      <c r="F285" s="400"/>
      <c r="G285" s="400"/>
      <c r="H285" s="400"/>
      <c r="I285" s="400"/>
      <c r="J285" s="400"/>
      <c r="K285" s="400">
        <v>0.19</v>
      </c>
      <c r="L285" s="400">
        <v>0.23</v>
      </c>
      <c r="M285" s="400"/>
      <c r="N285" s="400"/>
      <c r="O285" s="400"/>
      <c r="P285" s="400"/>
      <c r="Q285" s="400"/>
      <c r="R285" s="482">
        <v>9.7000000000000003E-2</v>
      </c>
      <c r="S285" s="208">
        <f>ROUND((K285*H283+1.3*K285*J283+R285*G283),4)</f>
        <v>69.802499999999995</v>
      </c>
      <c r="T285" s="208">
        <f>ROUND((L285*0.9*H283+1.3*L285*0.9*J283+R285*G283),4)</f>
        <v>75.527299999999997</v>
      </c>
      <c r="U285" s="208">
        <f>ROUND((L285*H283+1.3*L285*J283+R285*G283),4)</f>
        <v>83.272499999999994</v>
      </c>
      <c r="V285" s="208">
        <f>ROUND((K285*I283+1.3*K285*M283+R285*F283),4)</f>
        <v>5.7119999999999997</v>
      </c>
      <c r="W285" s="208">
        <f>ROUND((L285*0.9*I283+1.3*L285*0.9*M283+R285*F283),4)</f>
        <v>6.1710000000000003</v>
      </c>
      <c r="X285" s="208">
        <f>ROUND((L285*I283+1.3*L285*M283+R285*F283),4)</f>
        <v>6.7919999999999998</v>
      </c>
      <c r="Y285" s="404">
        <f>ROUND((O283*S285*E283*N283/1000000),4)</f>
        <v>0</v>
      </c>
      <c r="Z285" s="404">
        <f>ROUND((P283*T285*E283*N283/1000000),4)</f>
        <v>2.3E-3</v>
      </c>
      <c r="AA285" s="404">
        <f>ROUND((Q283*U285*E283*N283/1000000),4)</f>
        <v>5.0000000000000001E-3</v>
      </c>
      <c r="AB285" s="937" t="s">
        <v>56</v>
      </c>
      <c r="AC285" s="938" t="s">
        <v>57</v>
      </c>
      <c r="AD285" s="939">
        <f>ROUND((((W285*D283)/1800)),4)</f>
        <v>3.3999999999999998E-3</v>
      </c>
      <c r="AE285" s="939">
        <f>ROUND(((Y285+Z285+AA285)),5)</f>
        <v>7.3000000000000001E-3</v>
      </c>
      <c r="AF285" s="61"/>
      <c r="AG285" s="61"/>
      <c r="AH285" s="61"/>
      <c r="AI285" s="61"/>
    </row>
    <row r="286" spans="1:35" s="417" customFormat="1" ht="15" customHeight="1" x14ac:dyDescent="0.2">
      <c r="A286" s="562"/>
      <c r="B286" s="414"/>
      <c r="C286" s="414"/>
      <c r="D286" s="400"/>
      <c r="E286" s="400"/>
      <c r="F286" s="400"/>
      <c r="G286" s="400"/>
      <c r="H286" s="400"/>
      <c r="I286" s="400"/>
      <c r="J286" s="400"/>
      <c r="K286" s="400">
        <v>0.43</v>
      </c>
      <c r="L286" s="400">
        <v>0.51</v>
      </c>
      <c r="M286" s="400"/>
      <c r="N286" s="400"/>
      <c r="O286" s="400"/>
      <c r="P286" s="400"/>
      <c r="Q286" s="400"/>
      <c r="R286" s="482">
        <v>0.3</v>
      </c>
      <c r="S286" s="208">
        <f>ROUND((K286*H283+1.3*K286*J283+R286*G283),4)</f>
        <v>162.80250000000001</v>
      </c>
      <c r="T286" s="208">
        <f>ROUND((L286*0.9*H283+1.3*L286*0.9*J283+R286*G283),4)</f>
        <v>172.56829999999999</v>
      </c>
      <c r="U286" s="208">
        <f>ROUND((L286*H283+1.3*L286*J283+R286*G283),4)</f>
        <v>189.74250000000001</v>
      </c>
      <c r="V286" s="208">
        <f>ROUND((K286*I283+1.3*K286*M283+R286*F283),4)</f>
        <v>13.41</v>
      </c>
      <c r="W286" s="208">
        <f>ROUND((L286*0.9*I283+1.3*L286*0.9*M283+R286*F283),4)</f>
        <v>14.193</v>
      </c>
      <c r="X286" s="208">
        <f>ROUND((L286*I283+1.3*M283+R286*F283),4)</f>
        <v>21.94</v>
      </c>
      <c r="Y286" s="404">
        <f>ROUND((O283*S286*E283*N283/1000000),4)</f>
        <v>0</v>
      </c>
      <c r="Z286" s="404">
        <f>ROUND((P283*T286*E283*N283/1000000),4)</f>
        <v>5.1999999999999998E-3</v>
      </c>
      <c r="AA286" s="404">
        <f>ROUND((Q283*U286*E283*N283/1000000),4)</f>
        <v>1.14E-2</v>
      </c>
      <c r="AB286" s="937" t="s">
        <v>177</v>
      </c>
      <c r="AC286" s="938" t="s">
        <v>178</v>
      </c>
      <c r="AD286" s="939">
        <f>ROUND((((W286*D283)/1800)),4)</f>
        <v>7.9000000000000008E-3</v>
      </c>
      <c r="AE286" s="939">
        <f>ROUND(((Y286+Z286+AA286)),4)</f>
        <v>1.66E-2</v>
      </c>
      <c r="AF286" s="61"/>
      <c r="AG286" s="61"/>
      <c r="AH286" s="61"/>
      <c r="AI286" s="61"/>
    </row>
    <row r="287" spans="1:35" s="417" customFormat="1" ht="15" customHeight="1" x14ac:dyDescent="0.2">
      <c r="A287" s="562"/>
      <c r="B287" s="414"/>
      <c r="C287" s="414"/>
      <c r="D287" s="400"/>
      <c r="E287" s="400"/>
      <c r="F287" s="400"/>
      <c r="G287" s="400"/>
      <c r="H287" s="400"/>
      <c r="I287" s="400"/>
      <c r="J287" s="400"/>
      <c r="K287" s="400">
        <v>0.27</v>
      </c>
      <c r="L287" s="400">
        <v>0.41</v>
      </c>
      <c r="M287" s="400"/>
      <c r="N287" s="400"/>
      <c r="O287" s="400"/>
      <c r="P287" s="400"/>
      <c r="Q287" s="400"/>
      <c r="R287" s="482">
        <v>0.06</v>
      </c>
      <c r="S287" s="208">
        <f>ROUND((K287*H283+1.3*K287*J283+R287*G283),4)</f>
        <v>94.522499999999994</v>
      </c>
      <c r="T287" s="208">
        <f>ROUND((L287*0.9*H283+1.3*L287*0.9*J283+R287*G283),4)</f>
        <v>127.8608</v>
      </c>
      <c r="U287" s="208">
        <f>ROUND((L287*H283+1.3*L287*J283+R287*G283),4)</f>
        <v>141.66749999999999</v>
      </c>
      <c r="V287" s="208">
        <f>ROUND((K287*I283+1.3*K287*M283+R287*F283),4)</f>
        <v>7.65</v>
      </c>
      <c r="W287" s="208">
        <f>ROUND((L287*0.9*I283+1.3*L287*0.9*M283+R287*F283),4)</f>
        <v>10.323</v>
      </c>
      <c r="X287" s="208">
        <f>ROUND((L287*I283+1.3*L287*M283+R287*F283),4)</f>
        <v>11.43</v>
      </c>
      <c r="Y287" s="404">
        <f>ROUND((O283*S287*E283*N283/1000000),4)</f>
        <v>0</v>
      </c>
      <c r="Z287" s="404">
        <f>ROUND((P283*T287*E283*N283/1000000),4)</f>
        <v>3.8E-3</v>
      </c>
      <c r="AA287" s="404">
        <f>ROUND((Q283*U287*E283*N283/1000000),4)</f>
        <v>8.5000000000000006E-3</v>
      </c>
      <c r="AB287" s="937" t="s">
        <v>61</v>
      </c>
      <c r="AC287" s="938" t="s">
        <v>62</v>
      </c>
      <c r="AD287" s="939">
        <f>ROUND((((W287*D283)/1800)),4)</f>
        <v>5.7000000000000002E-3</v>
      </c>
      <c r="AE287" s="939">
        <f>ROUND(((Y287+Z287+AA287)),4)</f>
        <v>1.23E-2</v>
      </c>
      <c r="AF287" s="61"/>
      <c r="AG287" s="61"/>
      <c r="AH287" s="61"/>
      <c r="AI287" s="61"/>
    </row>
    <row r="288" spans="1:35" s="417" customFormat="1" ht="15" customHeight="1" x14ac:dyDescent="0.2">
      <c r="A288" s="513"/>
      <c r="B288" s="416"/>
      <c r="C288" s="416"/>
      <c r="D288" s="401"/>
      <c r="E288" s="401"/>
      <c r="F288" s="401"/>
      <c r="G288" s="401"/>
      <c r="H288" s="401"/>
      <c r="I288" s="401"/>
      <c r="J288" s="401"/>
      <c r="K288" s="401">
        <v>1.29</v>
      </c>
      <c r="L288" s="401">
        <v>1.57</v>
      </c>
      <c r="M288" s="401"/>
      <c r="N288" s="401"/>
      <c r="O288" s="401"/>
      <c r="P288" s="401"/>
      <c r="Q288" s="401"/>
      <c r="R288" s="482">
        <v>2.4</v>
      </c>
      <c r="S288" s="175">
        <f>ROUND((K288*H283+1.3*K288*J283+R288*G283),4)</f>
        <v>578.40750000000003</v>
      </c>
      <c r="T288" s="175">
        <f>ROUND((L288*0.9*H283+1.3*L288*0.9*J283+R288*G283),4)</f>
        <v>619.82780000000002</v>
      </c>
      <c r="U288" s="175">
        <f>ROUND((L288*H283+1.3*L288*J283+R288*G283),4)</f>
        <v>672.69749999999999</v>
      </c>
      <c r="V288" s="175">
        <f>ROUND((K288*I283+1.3*K288*M283+R288*F283),4)</f>
        <v>49.23</v>
      </c>
      <c r="W288" s="175">
        <f>ROUND((L288*0.9*I283+1.3*L288*0.9*M283+R288*F283),4)</f>
        <v>52.551000000000002</v>
      </c>
      <c r="X288" s="175">
        <f>ROUND((L288*I283+1.3*L288*M283+R288*F283),4)</f>
        <v>56.79</v>
      </c>
      <c r="Y288" s="489">
        <f>ROUND((O283*S288*E283*N283/1000000),4)</f>
        <v>0</v>
      </c>
      <c r="Z288" s="489">
        <f>ROUND((P283*T288*E283*N283/1000000),4)</f>
        <v>1.8599999999999998E-2</v>
      </c>
      <c r="AA288" s="489">
        <f>ROUND((Q283*U288*E283*N283/1000000),4)</f>
        <v>4.0399999999999998E-2</v>
      </c>
      <c r="AB288" s="937" t="s">
        <v>65</v>
      </c>
      <c r="AC288" s="938" t="s">
        <v>66</v>
      </c>
      <c r="AD288" s="939">
        <f>ROUND((((W288*D283)/1800)),4)</f>
        <v>2.92E-2</v>
      </c>
      <c r="AE288" s="939">
        <f>ROUND(((Y288+Z288+AA288)),4)</f>
        <v>5.8999999999999997E-2</v>
      </c>
      <c r="AF288" s="61">
        <f>SUM(AD283:AD288)</f>
        <v>8.2100000000000006E-2</v>
      </c>
      <c r="AG288" s="61">
        <f>SUM(AE283:AE288)</f>
        <v>0.16720000000000002</v>
      </c>
      <c r="AH288" s="61"/>
      <c r="AI288" s="61"/>
    </row>
    <row r="289" spans="1:35" s="417" customFormat="1" ht="15" customHeight="1" x14ac:dyDescent="0.2">
      <c r="A289" s="1284" t="s">
        <v>707</v>
      </c>
      <c r="B289" s="1437"/>
      <c r="C289" s="1438"/>
      <c r="D289" s="1438"/>
      <c r="E289" s="1438"/>
      <c r="F289" s="1438"/>
      <c r="G289" s="1438"/>
      <c r="H289" s="1438"/>
      <c r="I289" s="1438"/>
      <c r="J289" s="1438"/>
      <c r="K289" s="1438"/>
      <c r="L289" s="1438"/>
      <c r="M289" s="1438"/>
      <c r="N289" s="1438"/>
      <c r="O289" s="1438"/>
      <c r="P289" s="1438"/>
      <c r="Q289" s="1438"/>
      <c r="R289" s="1438"/>
      <c r="S289" s="1438"/>
      <c r="T289" s="1438"/>
      <c r="U289" s="1438"/>
      <c r="V289" s="1438"/>
      <c r="W289" s="1438"/>
      <c r="X289" s="1438"/>
      <c r="Y289" s="1438"/>
      <c r="Z289" s="1438"/>
      <c r="AA289" s="1438"/>
      <c r="AB289" s="1438"/>
      <c r="AC289" s="1438"/>
      <c r="AD289" s="1438"/>
      <c r="AE289" s="1439"/>
      <c r="AF289" s="61"/>
      <c r="AG289" s="61"/>
      <c r="AH289" s="61"/>
      <c r="AI289" s="61"/>
    </row>
    <row r="290" spans="1:35" s="417" customFormat="1" ht="15" customHeight="1" x14ac:dyDescent="0.2">
      <c r="A290" s="560" t="s">
        <v>704</v>
      </c>
      <c r="B290" s="486" t="s">
        <v>343</v>
      </c>
      <c r="C290" s="413">
        <v>4</v>
      </c>
      <c r="D290" s="381">
        <v>1</v>
      </c>
      <c r="E290" s="381">
        <v>1</v>
      </c>
      <c r="F290" s="381">
        <v>6</v>
      </c>
      <c r="G290" s="381">
        <v>60</v>
      </c>
      <c r="H290" s="381">
        <f>(8-1-0.75*2)*60*E290-J290-8*0.12*60</f>
        <v>57.900000000000006</v>
      </c>
      <c r="I290" s="381">
        <v>14</v>
      </c>
      <c r="J290" s="381">
        <f>(8-1-0.75*2)*0.65*60*E290</f>
        <v>214.5</v>
      </c>
      <c r="K290" s="381">
        <v>2.4700000000000002</v>
      </c>
      <c r="L290" s="381">
        <v>2.4700000000000002</v>
      </c>
      <c r="M290" s="381">
        <v>10</v>
      </c>
      <c r="N290" s="381">
        <f>D290/E290</f>
        <v>1</v>
      </c>
      <c r="O290" s="485">
        <v>0</v>
      </c>
      <c r="P290" s="485">
        <v>30</v>
      </c>
      <c r="Q290" s="483">
        <v>60</v>
      </c>
      <c r="R290" s="381">
        <v>0.48</v>
      </c>
      <c r="S290" s="208">
        <f>ROUND((K290*H290+1.3*K290*J290+R290*G290),4)</f>
        <v>860.57249999999999</v>
      </c>
      <c r="T290" s="208">
        <f>ROUND((L290*H290+1.3*L290*J290+R290*G290),4)</f>
        <v>860.57249999999999</v>
      </c>
      <c r="U290" s="208">
        <f>ROUND((L290*H290+1.3*L290*J290+R290*G290),4)</f>
        <v>860.57249999999999</v>
      </c>
      <c r="V290" s="208">
        <f>ROUND((K290*I290+1.3*K290*M290+R290*F290),4)</f>
        <v>69.569999999999993</v>
      </c>
      <c r="W290" s="208">
        <f>ROUND((L290*I290+1.3*L290*M290+R290*F290),4)</f>
        <v>69.569999999999993</v>
      </c>
      <c r="X290" s="208">
        <f>ROUND((L290*I290+1.3*L290*M290+R290*F290),4)</f>
        <v>69.569999999999993</v>
      </c>
      <c r="Y290" s="404">
        <f>ROUND((O290*S290*E290*N290/1000000),4)</f>
        <v>0</v>
      </c>
      <c r="Z290" s="404">
        <f>ROUND((P290*T290*E290*N290/1000000),4)</f>
        <v>2.58E-2</v>
      </c>
      <c r="AA290" s="404">
        <f>ROUND((Q290*U290*E290*N290/1000000),4)</f>
        <v>5.16E-2</v>
      </c>
      <c r="AB290" s="937" t="s">
        <v>48</v>
      </c>
      <c r="AC290" s="938" t="s">
        <v>49</v>
      </c>
      <c r="AD290" s="939">
        <f>ROUND((((W290*D290)/1800)*0.8),4)</f>
        <v>3.09E-2</v>
      </c>
      <c r="AE290" s="939">
        <f>ROUND(((Y290+Z290+AA290)*0.8),4)</f>
        <v>6.1899999999999997E-2</v>
      </c>
      <c r="AF290" s="61"/>
      <c r="AG290" s="61"/>
      <c r="AH290" s="61"/>
      <c r="AI290" s="61"/>
    </row>
    <row r="291" spans="1:35" s="417" customFormat="1" ht="15" customHeight="1" x14ac:dyDescent="0.2">
      <c r="A291" s="561" t="s">
        <v>166</v>
      </c>
      <c r="B291" s="487" t="s">
        <v>359</v>
      </c>
      <c r="C291" s="414"/>
      <c r="D291" s="400"/>
      <c r="E291" s="400"/>
      <c r="F291" s="400"/>
      <c r="G291" s="400"/>
      <c r="H291" s="400"/>
      <c r="I291" s="400"/>
      <c r="J291" s="400"/>
      <c r="K291" s="400"/>
      <c r="L291" s="400"/>
      <c r="M291" s="400"/>
      <c r="N291" s="400"/>
      <c r="O291" s="400"/>
      <c r="P291" s="400"/>
      <c r="Q291" s="400"/>
      <c r="R291" s="488"/>
      <c r="S291" s="407"/>
      <c r="T291" s="407"/>
      <c r="U291" s="407"/>
      <c r="V291" s="407"/>
      <c r="W291" s="407"/>
      <c r="X291" s="407"/>
      <c r="Y291" s="407"/>
      <c r="Z291" s="407"/>
      <c r="AA291" s="407"/>
      <c r="AB291" s="937" t="s">
        <v>51</v>
      </c>
      <c r="AC291" s="938" t="s">
        <v>52</v>
      </c>
      <c r="AD291" s="939">
        <f>ROUND((((W290*D290)/1800)*0.13),4)</f>
        <v>5.0000000000000001E-3</v>
      </c>
      <c r="AE291" s="939">
        <f>ROUND(((Y290+Z290+AA290)*0.13),4)</f>
        <v>1.01E-2</v>
      </c>
      <c r="AF291" s="61"/>
      <c r="AG291" s="61"/>
      <c r="AH291" s="61"/>
      <c r="AI291" s="61"/>
    </row>
    <row r="292" spans="1:35" s="417" customFormat="1" ht="15" customHeight="1" x14ac:dyDescent="0.2">
      <c r="A292" s="562"/>
      <c r="B292" s="414" t="s">
        <v>360</v>
      </c>
      <c r="C292" s="415"/>
      <c r="D292" s="400"/>
      <c r="E292" s="400"/>
      <c r="F292" s="400"/>
      <c r="G292" s="400"/>
      <c r="H292" s="400"/>
      <c r="I292" s="400"/>
      <c r="J292" s="400"/>
      <c r="K292" s="400">
        <v>0.19</v>
      </c>
      <c r="L292" s="400">
        <v>0.23</v>
      </c>
      <c r="M292" s="400"/>
      <c r="N292" s="400"/>
      <c r="O292" s="400"/>
      <c r="P292" s="400"/>
      <c r="Q292" s="400"/>
      <c r="R292" s="482">
        <v>9.7000000000000003E-2</v>
      </c>
      <c r="S292" s="208">
        <f>ROUND((K292*H290+1.3*K292*J290+R292*G290),4)</f>
        <v>69.802499999999995</v>
      </c>
      <c r="T292" s="208">
        <f>ROUND((L292*0.9*H290+1.3*L292*0.9*J290+R292*G290),4)</f>
        <v>75.527299999999997</v>
      </c>
      <c r="U292" s="208">
        <f>ROUND((L292*H290+1.3*L292*J290+R292*G290),4)</f>
        <v>83.272499999999994</v>
      </c>
      <c r="V292" s="208">
        <f>ROUND((K292*I290+1.3*K292*M290+R292*F290),4)</f>
        <v>5.7119999999999997</v>
      </c>
      <c r="W292" s="208">
        <f>ROUND((L292*0.9*I290+1.3*L292*0.9*M290+R292*F290),4)</f>
        <v>6.1710000000000003</v>
      </c>
      <c r="X292" s="208">
        <f>ROUND((L292*I290+1.3*L292*M290+R292*F290),4)</f>
        <v>6.7919999999999998</v>
      </c>
      <c r="Y292" s="404">
        <f>ROUND((O290*S292*E290*N290/1000000),4)</f>
        <v>0</v>
      </c>
      <c r="Z292" s="404">
        <f>ROUND((P290*T292*E290*N290/1000000),4)</f>
        <v>2.3E-3</v>
      </c>
      <c r="AA292" s="404">
        <f>ROUND((Q290*U292*E290*N290/1000000),4)</f>
        <v>5.0000000000000001E-3</v>
      </c>
      <c r="AB292" s="937" t="s">
        <v>56</v>
      </c>
      <c r="AC292" s="938" t="s">
        <v>57</v>
      </c>
      <c r="AD292" s="939">
        <f>ROUND((((W292*D290)/1800)),4)</f>
        <v>3.3999999999999998E-3</v>
      </c>
      <c r="AE292" s="939">
        <f>ROUND(((Y292+Z292+AA292)),5)</f>
        <v>7.3000000000000001E-3</v>
      </c>
      <c r="AF292" s="61"/>
      <c r="AG292" s="61"/>
      <c r="AH292" s="61"/>
      <c r="AI292" s="61"/>
    </row>
    <row r="293" spans="1:35" s="417" customFormat="1" ht="15" customHeight="1" x14ac:dyDescent="0.2">
      <c r="A293" s="562"/>
      <c r="B293" s="414"/>
      <c r="C293" s="414"/>
      <c r="D293" s="400"/>
      <c r="E293" s="400"/>
      <c r="F293" s="400"/>
      <c r="G293" s="400"/>
      <c r="H293" s="400"/>
      <c r="I293" s="400"/>
      <c r="J293" s="400"/>
      <c r="K293" s="400">
        <v>0.43</v>
      </c>
      <c r="L293" s="400">
        <v>0.51</v>
      </c>
      <c r="M293" s="400"/>
      <c r="N293" s="400"/>
      <c r="O293" s="400"/>
      <c r="P293" s="400"/>
      <c r="Q293" s="400"/>
      <c r="R293" s="482">
        <v>0.3</v>
      </c>
      <c r="S293" s="208">
        <f>ROUND((K293*H290+1.3*K293*J290+R293*G290),4)</f>
        <v>162.80250000000001</v>
      </c>
      <c r="T293" s="208">
        <f>ROUND((L293*0.9*H290+1.3*L293*0.9*J290+R293*G290),4)</f>
        <v>172.56829999999999</v>
      </c>
      <c r="U293" s="208">
        <f>ROUND((L293*H290+1.3*L293*J290+R293*G290),4)</f>
        <v>189.74250000000001</v>
      </c>
      <c r="V293" s="208">
        <f>ROUND((K293*I290+1.3*K293*M290+R293*F290),4)</f>
        <v>13.41</v>
      </c>
      <c r="W293" s="208">
        <f>ROUND((L293*0.9*I290+1.3*L293*0.9*M290+R293*F290),4)</f>
        <v>14.193</v>
      </c>
      <c r="X293" s="208">
        <f>ROUND((L293*I290+1.3*M290+R293*F290),4)</f>
        <v>21.94</v>
      </c>
      <c r="Y293" s="404">
        <f>ROUND((O290*S293*E290*N290/1000000),4)</f>
        <v>0</v>
      </c>
      <c r="Z293" s="404">
        <f>ROUND((P290*T293*E290*N290/1000000),4)</f>
        <v>5.1999999999999998E-3</v>
      </c>
      <c r="AA293" s="404">
        <f>ROUND((Q290*U293*E290*N290/1000000),4)</f>
        <v>1.14E-2</v>
      </c>
      <c r="AB293" s="937" t="s">
        <v>177</v>
      </c>
      <c r="AC293" s="938" t="s">
        <v>178</v>
      </c>
      <c r="AD293" s="939">
        <f>ROUND((((W293*D290)/1800)),4)</f>
        <v>7.9000000000000008E-3</v>
      </c>
      <c r="AE293" s="939">
        <f>ROUND(((Y293+Z293+AA293)),4)</f>
        <v>1.66E-2</v>
      </c>
      <c r="AF293" s="61"/>
      <c r="AG293" s="61"/>
      <c r="AH293" s="61"/>
      <c r="AI293" s="61"/>
    </row>
    <row r="294" spans="1:35" s="417" customFormat="1" ht="15" customHeight="1" x14ac:dyDescent="0.2">
      <c r="A294" s="562"/>
      <c r="B294" s="414"/>
      <c r="C294" s="414"/>
      <c r="D294" s="400"/>
      <c r="E294" s="400"/>
      <c r="F294" s="400"/>
      <c r="G294" s="400"/>
      <c r="H294" s="400"/>
      <c r="I294" s="400"/>
      <c r="J294" s="400"/>
      <c r="K294" s="400">
        <v>0.27</v>
      </c>
      <c r="L294" s="400">
        <v>0.41</v>
      </c>
      <c r="M294" s="400"/>
      <c r="N294" s="400"/>
      <c r="O294" s="400"/>
      <c r="P294" s="400"/>
      <c r="Q294" s="400"/>
      <c r="R294" s="482">
        <v>0.06</v>
      </c>
      <c r="S294" s="208">
        <f>ROUND((K294*H290+1.3*K294*J290+R294*G290),4)</f>
        <v>94.522499999999994</v>
      </c>
      <c r="T294" s="208">
        <f>ROUND((L294*0.9*H290+1.3*L294*0.9*J290+R294*G290),4)</f>
        <v>127.8608</v>
      </c>
      <c r="U294" s="208">
        <f>ROUND((L294*H290+1.3*L294*J290+R294*G290),4)</f>
        <v>141.66749999999999</v>
      </c>
      <c r="V294" s="208">
        <f>ROUND((K294*I290+1.3*K294*M290+R294*F290),4)</f>
        <v>7.65</v>
      </c>
      <c r="W294" s="208">
        <f>ROUND((L294*0.9*I290+1.3*L294*0.9*M290+R294*F290),4)</f>
        <v>10.323</v>
      </c>
      <c r="X294" s="208">
        <f>ROUND((L294*I290+1.3*L294*M290+R294*F290),4)</f>
        <v>11.43</v>
      </c>
      <c r="Y294" s="404">
        <f>ROUND((O290*S294*E290*N290/1000000),4)</f>
        <v>0</v>
      </c>
      <c r="Z294" s="404">
        <f>ROUND((P290*T294*E290*N290/1000000),4)</f>
        <v>3.8E-3</v>
      </c>
      <c r="AA294" s="404">
        <f>ROUND((Q290*U294*E290*N290/1000000),4)</f>
        <v>8.5000000000000006E-3</v>
      </c>
      <c r="AB294" s="937" t="s">
        <v>61</v>
      </c>
      <c r="AC294" s="938" t="s">
        <v>62</v>
      </c>
      <c r="AD294" s="939">
        <f>ROUND((((W294*D290)/1800)),4)</f>
        <v>5.7000000000000002E-3</v>
      </c>
      <c r="AE294" s="939">
        <f>ROUND(((Y294+Z294+AA294)),4)</f>
        <v>1.23E-2</v>
      </c>
      <c r="AF294" s="61"/>
      <c r="AG294" s="61"/>
      <c r="AH294" s="61"/>
      <c r="AI294" s="61"/>
    </row>
    <row r="295" spans="1:35" s="417" customFormat="1" ht="15" customHeight="1" x14ac:dyDescent="0.2">
      <c r="A295" s="513"/>
      <c r="B295" s="416"/>
      <c r="C295" s="416"/>
      <c r="D295" s="401"/>
      <c r="E295" s="401"/>
      <c r="F295" s="401"/>
      <c r="G295" s="401"/>
      <c r="H295" s="401"/>
      <c r="I295" s="401"/>
      <c r="J295" s="401"/>
      <c r="K295" s="401">
        <v>1.29</v>
      </c>
      <c r="L295" s="401">
        <v>1.57</v>
      </c>
      <c r="M295" s="401"/>
      <c r="N295" s="401"/>
      <c r="O295" s="401"/>
      <c r="P295" s="401"/>
      <c r="Q295" s="401"/>
      <c r="R295" s="482">
        <v>2.4</v>
      </c>
      <c r="S295" s="175">
        <f>ROUND((K295*H290+1.3*K295*J290+R295*G290),4)</f>
        <v>578.40750000000003</v>
      </c>
      <c r="T295" s="175">
        <f>ROUND((L295*0.9*H290+1.3*L295*0.9*J290+R295*G290),4)</f>
        <v>619.82780000000002</v>
      </c>
      <c r="U295" s="175">
        <f>ROUND((L295*H290+1.3*L295*J290+R295*G290),4)</f>
        <v>672.69749999999999</v>
      </c>
      <c r="V295" s="175">
        <f>ROUND((K295*I290+1.3*K295*M290+R295*F290),4)</f>
        <v>49.23</v>
      </c>
      <c r="W295" s="175">
        <f>ROUND((L295*0.9*I290+1.3*L295*0.9*M290+R295*F290),4)</f>
        <v>52.551000000000002</v>
      </c>
      <c r="X295" s="175">
        <f>ROUND((L295*I290+1.3*L295*M290+R295*F290),4)</f>
        <v>56.79</v>
      </c>
      <c r="Y295" s="489">
        <f>ROUND((O290*S295*E290*N290/1000000),4)</f>
        <v>0</v>
      </c>
      <c r="Z295" s="489">
        <f>ROUND((P290*T295*E290*N290/1000000),4)</f>
        <v>1.8599999999999998E-2</v>
      </c>
      <c r="AA295" s="489">
        <f>ROUND((Q290*U295*E290*N290/1000000),4)</f>
        <v>4.0399999999999998E-2</v>
      </c>
      <c r="AB295" s="937" t="s">
        <v>65</v>
      </c>
      <c r="AC295" s="938" t="s">
        <v>66</v>
      </c>
      <c r="AD295" s="939">
        <f>ROUND((((W295*D290)/1800)),4)</f>
        <v>2.92E-2</v>
      </c>
      <c r="AE295" s="939">
        <f>ROUND(((Y295+Z295+AA295)),4)</f>
        <v>5.8999999999999997E-2</v>
      </c>
      <c r="AF295" s="61">
        <f>SUM(AD290:AD295)</f>
        <v>8.2100000000000006E-2</v>
      </c>
      <c r="AG295" s="61">
        <f>SUM(AE290:AE295)</f>
        <v>0.16720000000000002</v>
      </c>
      <c r="AH295" s="61"/>
      <c r="AI295" s="61"/>
    </row>
    <row r="296" spans="1:35" s="417" customFormat="1" ht="15" customHeight="1" x14ac:dyDescent="0.2">
      <c r="A296" s="1284" t="s">
        <v>709</v>
      </c>
      <c r="B296" s="1437"/>
      <c r="C296" s="1438"/>
      <c r="D296" s="1438"/>
      <c r="E296" s="1438"/>
      <c r="F296" s="1438"/>
      <c r="G296" s="1438"/>
      <c r="H296" s="1438"/>
      <c r="I296" s="1438"/>
      <c r="J296" s="1438"/>
      <c r="K296" s="1438"/>
      <c r="L296" s="1438"/>
      <c r="M296" s="1438"/>
      <c r="N296" s="1438"/>
      <c r="O296" s="1438"/>
      <c r="P296" s="1438"/>
      <c r="Q296" s="1438"/>
      <c r="R296" s="1438"/>
      <c r="S296" s="1438"/>
      <c r="T296" s="1438"/>
      <c r="U296" s="1438"/>
      <c r="V296" s="1438"/>
      <c r="W296" s="1438"/>
      <c r="X296" s="1438"/>
      <c r="Y296" s="1438"/>
      <c r="Z296" s="1438"/>
      <c r="AA296" s="1438"/>
      <c r="AB296" s="1438"/>
      <c r="AC296" s="1438"/>
      <c r="AD296" s="1438"/>
      <c r="AE296" s="1439"/>
      <c r="AF296" s="61"/>
      <c r="AG296" s="61"/>
      <c r="AH296" s="61"/>
      <c r="AI296" s="61"/>
    </row>
    <row r="297" spans="1:35" s="417" customFormat="1" ht="15" customHeight="1" x14ac:dyDescent="0.2">
      <c r="A297" s="560" t="s">
        <v>705</v>
      </c>
      <c r="B297" s="486" t="s">
        <v>343</v>
      </c>
      <c r="C297" s="413">
        <v>4</v>
      </c>
      <c r="D297" s="381">
        <v>1</v>
      </c>
      <c r="E297" s="381">
        <v>1</v>
      </c>
      <c r="F297" s="381">
        <v>6</v>
      </c>
      <c r="G297" s="381">
        <v>60</v>
      </c>
      <c r="H297" s="381">
        <f>(8-1-0.75*2)*60*E297-J297-8*0.12*60</f>
        <v>57.900000000000006</v>
      </c>
      <c r="I297" s="381">
        <v>14</v>
      </c>
      <c r="J297" s="381">
        <f>(8-1-0.75*2)*0.65*60*E297</f>
        <v>214.5</v>
      </c>
      <c r="K297" s="381">
        <v>2.4700000000000002</v>
      </c>
      <c r="L297" s="381">
        <v>2.4700000000000002</v>
      </c>
      <c r="M297" s="381">
        <v>10</v>
      </c>
      <c r="N297" s="381">
        <f>D297/E297</f>
        <v>1</v>
      </c>
      <c r="O297" s="485">
        <v>0</v>
      </c>
      <c r="P297" s="485">
        <v>30</v>
      </c>
      <c r="Q297" s="483">
        <v>60</v>
      </c>
      <c r="R297" s="381">
        <v>0.48</v>
      </c>
      <c r="S297" s="208">
        <f>ROUND((K297*H297+1.3*K297*J297+R297*G297),4)</f>
        <v>860.57249999999999</v>
      </c>
      <c r="T297" s="208">
        <f>ROUND((L297*H297+1.3*L297*J297+R297*G297),4)</f>
        <v>860.57249999999999</v>
      </c>
      <c r="U297" s="208">
        <f>ROUND((L297*H297+1.3*L297*J297+R297*G297),4)</f>
        <v>860.57249999999999</v>
      </c>
      <c r="V297" s="208">
        <f>ROUND((K297*I297+1.3*K297*M297+R297*F297),4)</f>
        <v>69.569999999999993</v>
      </c>
      <c r="W297" s="208">
        <f>ROUND((L297*I297+1.3*L297*M297+R297*F297),4)</f>
        <v>69.569999999999993</v>
      </c>
      <c r="X297" s="208">
        <f>ROUND((L297*I297+1.3*L297*M297+R297*F297),4)</f>
        <v>69.569999999999993</v>
      </c>
      <c r="Y297" s="404">
        <f>ROUND((O297*S297*E297*N297/1000000),4)</f>
        <v>0</v>
      </c>
      <c r="Z297" s="404">
        <f>ROUND((P297*T297*E297*N297/1000000),4)</f>
        <v>2.58E-2</v>
      </c>
      <c r="AA297" s="404">
        <f>ROUND((Q297*U297*E297*N297/1000000),4)</f>
        <v>5.16E-2</v>
      </c>
      <c r="AB297" s="937" t="s">
        <v>48</v>
      </c>
      <c r="AC297" s="938" t="s">
        <v>49</v>
      </c>
      <c r="AD297" s="939">
        <f>ROUND((((W297*D297)/1800)*0.8),4)</f>
        <v>3.09E-2</v>
      </c>
      <c r="AE297" s="939">
        <f>ROUND(((Y297+Z297+AA297)*0.8),4)</f>
        <v>6.1899999999999997E-2</v>
      </c>
      <c r="AF297" s="61"/>
      <c r="AG297" s="61"/>
      <c r="AH297" s="61"/>
      <c r="AI297" s="61"/>
    </row>
    <row r="298" spans="1:35" s="417" customFormat="1" ht="15" customHeight="1" x14ac:dyDescent="0.2">
      <c r="A298" s="561" t="s">
        <v>166</v>
      </c>
      <c r="B298" s="487" t="s">
        <v>359</v>
      </c>
      <c r="C298" s="414"/>
      <c r="D298" s="400"/>
      <c r="E298" s="400"/>
      <c r="F298" s="400"/>
      <c r="G298" s="400"/>
      <c r="H298" s="400"/>
      <c r="I298" s="400"/>
      <c r="J298" s="400"/>
      <c r="K298" s="400"/>
      <c r="L298" s="400"/>
      <c r="M298" s="400"/>
      <c r="N298" s="400"/>
      <c r="O298" s="400"/>
      <c r="P298" s="400"/>
      <c r="Q298" s="400"/>
      <c r="R298" s="488"/>
      <c r="S298" s="407"/>
      <c r="T298" s="407"/>
      <c r="U298" s="407"/>
      <c r="V298" s="407"/>
      <c r="W298" s="407"/>
      <c r="X298" s="407"/>
      <c r="Y298" s="407"/>
      <c r="Z298" s="407"/>
      <c r="AA298" s="407"/>
      <c r="AB298" s="937" t="s">
        <v>51</v>
      </c>
      <c r="AC298" s="938" t="s">
        <v>52</v>
      </c>
      <c r="AD298" s="939">
        <f>ROUND((((W297*D297)/1800)*0.13),4)</f>
        <v>5.0000000000000001E-3</v>
      </c>
      <c r="AE298" s="939">
        <f>ROUND(((Y297+Z297+AA297)*0.13),4)</f>
        <v>1.01E-2</v>
      </c>
      <c r="AF298" s="61"/>
      <c r="AG298" s="61"/>
      <c r="AH298" s="61"/>
      <c r="AI298" s="61"/>
    </row>
    <row r="299" spans="1:35" s="417" customFormat="1" ht="15" customHeight="1" x14ac:dyDescent="0.2">
      <c r="A299" s="562"/>
      <c r="B299" s="414" t="s">
        <v>360</v>
      </c>
      <c r="C299" s="415"/>
      <c r="D299" s="400"/>
      <c r="E299" s="400"/>
      <c r="F299" s="400"/>
      <c r="G299" s="400"/>
      <c r="H299" s="400"/>
      <c r="I299" s="400"/>
      <c r="J299" s="400"/>
      <c r="K299" s="400">
        <v>0.19</v>
      </c>
      <c r="L299" s="400">
        <v>0.23</v>
      </c>
      <c r="M299" s="400"/>
      <c r="N299" s="400"/>
      <c r="O299" s="400"/>
      <c r="P299" s="400"/>
      <c r="Q299" s="400"/>
      <c r="R299" s="482">
        <v>9.7000000000000003E-2</v>
      </c>
      <c r="S299" s="208">
        <f>ROUND((K299*H297+1.3*K299*J297+R299*G297),4)</f>
        <v>69.802499999999995</v>
      </c>
      <c r="T299" s="208">
        <f>ROUND((L299*0.9*H297+1.3*L299*0.9*J297+R299*G297),4)</f>
        <v>75.527299999999997</v>
      </c>
      <c r="U299" s="208">
        <f>ROUND((L299*H297+1.3*L299*J297+R299*G297),4)</f>
        <v>83.272499999999994</v>
      </c>
      <c r="V299" s="208">
        <f>ROUND((K299*I297+1.3*K299*M297+R299*F297),4)</f>
        <v>5.7119999999999997</v>
      </c>
      <c r="W299" s="208">
        <f>ROUND((L299*0.9*I297+1.3*L299*0.9*M297+R299*F297),4)</f>
        <v>6.1710000000000003</v>
      </c>
      <c r="X299" s="208">
        <f>ROUND((L299*I297+1.3*L299*M297+R299*F297),4)</f>
        <v>6.7919999999999998</v>
      </c>
      <c r="Y299" s="404">
        <f>ROUND((O297*S299*E297*N297/1000000),4)</f>
        <v>0</v>
      </c>
      <c r="Z299" s="404">
        <f>ROUND((P297*T299*E297*N297/1000000),4)</f>
        <v>2.3E-3</v>
      </c>
      <c r="AA299" s="404">
        <f>ROUND((Q297*U299*E297*N297/1000000),4)</f>
        <v>5.0000000000000001E-3</v>
      </c>
      <c r="AB299" s="937" t="s">
        <v>56</v>
      </c>
      <c r="AC299" s="938" t="s">
        <v>57</v>
      </c>
      <c r="AD299" s="939">
        <f>ROUND((((W299*D297)/1800)),4)</f>
        <v>3.3999999999999998E-3</v>
      </c>
      <c r="AE299" s="939">
        <f>ROUND(((Y299+Z299+AA299)),5)</f>
        <v>7.3000000000000001E-3</v>
      </c>
      <c r="AF299" s="61"/>
      <c r="AG299" s="61"/>
      <c r="AH299" s="61"/>
      <c r="AI299" s="61"/>
    </row>
    <row r="300" spans="1:35" s="417" customFormat="1" ht="15" customHeight="1" x14ac:dyDescent="0.2">
      <c r="A300" s="562"/>
      <c r="B300" s="414"/>
      <c r="C300" s="414"/>
      <c r="D300" s="400"/>
      <c r="E300" s="400"/>
      <c r="F300" s="400"/>
      <c r="G300" s="400"/>
      <c r="H300" s="400"/>
      <c r="I300" s="400"/>
      <c r="J300" s="400"/>
      <c r="K300" s="400">
        <v>0.43</v>
      </c>
      <c r="L300" s="400">
        <v>0.51</v>
      </c>
      <c r="M300" s="400"/>
      <c r="N300" s="400"/>
      <c r="O300" s="400"/>
      <c r="P300" s="400"/>
      <c r="Q300" s="400"/>
      <c r="R300" s="482">
        <v>0.3</v>
      </c>
      <c r="S300" s="208">
        <f>ROUND((K300*H297+1.3*K300*J297+R300*G297),4)</f>
        <v>162.80250000000001</v>
      </c>
      <c r="T300" s="208">
        <f>ROUND((L300*0.9*H297+1.3*L300*0.9*J297+R300*G297),4)</f>
        <v>172.56829999999999</v>
      </c>
      <c r="U300" s="208">
        <f>ROUND((L300*H297+1.3*L300*J297+R300*G297),4)</f>
        <v>189.74250000000001</v>
      </c>
      <c r="V300" s="208">
        <f>ROUND((K300*I297+1.3*K300*M297+R300*F297),4)</f>
        <v>13.41</v>
      </c>
      <c r="W300" s="208">
        <f>ROUND((L300*0.9*I297+1.3*L300*0.9*M297+R300*F297),4)</f>
        <v>14.193</v>
      </c>
      <c r="X300" s="208">
        <f>ROUND((L300*I297+1.3*M297+R300*F297),4)</f>
        <v>21.94</v>
      </c>
      <c r="Y300" s="404">
        <f>ROUND((O297*S300*E297*N297/1000000),4)</f>
        <v>0</v>
      </c>
      <c r="Z300" s="404">
        <f>ROUND((P297*T300*E297*N297/1000000),4)</f>
        <v>5.1999999999999998E-3</v>
      </c>
      <c r="AA300" s="404">
        <f>ROUND((Q297*U300*E297*N297/1000000),4)</f>
        <v>1.14E-2</v>
      </c>
      <c r="AB300" s="937" t="s">
        <v>177</v>
      </c>
      <c r="AC300" s="938" t="s">
        <v>178</v>
      </c>
      <c r="AD300" s="939">
        <f>ROUND((((W300*D297)/1800)),4)</f>
        <v>7.9000000000000008E-3</v>
      </c>
      <c r="AE300" s="939">
        <f>ROUND(((Y300+Z300+AA300)),4)</f>
        <v>1.66E-2</v>
      </c>
      <c r="AF300" s="61"/>
      <c r="AG300" s="61"/>
      <c r="AH300" s="61"/>
      <c r="AI300" s="61"/>
    </row>
    <row r="301" spans="1:35" s="417" customFormat="1" ht="15" customHeight="1" x14ac:dyDescent="0.2">
      <c r="A301" s="562"/>
      <c r="B301" s="414"/>
      <c r="C301" s="414"/>
      <c r="D301" s="400"/>
      <c r="E301" s="400"/>
      <c r="F301" s="400"/>
      <c r="G301" s="400"/>
      <c r="H301" s="400"/>
      <c r="I301" s="400"/>
      <c r="J301" s="400"/>
      <c r="K301" s="400">
        <v>0.27</v>
      </c>
      <c r="L301" s="400">
        <v>0.41</v>
      </c>
      <c r="M301" s="400"/>
      <c r="N301" s="400"/>
      <c r="O301" s="400"/>
      <c r="P301" s="400"/>
      <c r="Q301" s="400"/>
      <c r="R301" s="482">
        <v>0.06</v>
      </c>
      <c r="S301" s="208">
        <f>ROUND((K301*H297+1.3*K301*J297+R301*G297),4)</f>
        <v>94.522499999999994</v>
      </c>
      <c r="T301" s="208">
        <f>ROUND((L301*0.9*H297+1.3*L301*0.9*J297+R301*G297),4)</f>
        <v>127.8608</v>
      </c>
      <c r="U301" s="208">
        <f>ROUND((L301*H297+1.3*L301*J297+R301*G297),4)</f>
        <v>141.66749999999999</v>
      </c>
      <c r="V301" s="208">
        <f>ROUND((K301*I297+1.3*K301*M297+R301*F297),4)</f>
        <v>7.65</v>
      </c>
      <c r="W301" s="208">
        <f>ROUND((L301*0.9*I297+1.3*L301*0.9*M297+R301*F297),4)</f>
        <v>10.323</v>
      </c>
      <c r="X301" s="208">
        <f>ROUND((L301*I297+1.3*L301*M297+R301*F297),4)</f>
        <v>11.43</v>
      </c>
      <c r="Y301" s="404">
        <f>ROUND((O297*S301*E297*N297/1000000),4)</f>
        <v>0</v>
      </c>
      <c r="Z301" s="404">
        <f>ROUND((P297*T301*E297*N297/1000000),4)</f>
        <v>3.8E-3</v>
      </c>
      <c r="AA301" s="404">
        <f>ROUND((Q297*U301*E297*N297/1000000),4)</f>
        <v>8.5000000000000006E-3</v>
      </c>
      <c r="AB301" s="937" t="s">
        <v>61</v>
      </c>
      <c r="AC301" s="938" t="s">
        <v>62</v>
      </c>
      <c r="AD301" s="939">
        <f>ROUND((((W301*D297)/1800)),4)</f>
        <v>5.7000000000000002E-3</v>
      </c>
      <c r="AE301" s="939">
        <f>ROUND(((Y301+Z301+AA301)),4)</f>
        <v>1.23E-2</v>
      </c>
      <c r="AF301" s="61"/>
      <c r="AG301" s="61"/>
      <c r="AH301" s="61"/>
      <c r="AI301" s="61"/>
    </row>
    <row r="302" spans="1:35" s="417" customFormat="1" ht="15" customHeight="1" x14ac:dyDescent="0.2">
      <c r="A302" s="513"/>
      <c r="B302" s="416"/>
      <c r="C302" s="416"/>
      <c r="D302" s="401"/>
      <c r="E302" s="401"/>
      <c r="F302" s="401"/>
      <c r="G302" s="401"/>
      <c r="H302" s="401"/>
      <c r="I302" s="401"/>
      <c r="J302" s="401"/>
      <c r="K302" s="401">
        <v>1.29</v>
      </c>
      <c r="L302" s="401">
        <v>1.57</v>
      </c>
      <c r="M302" s="401"/>
      <c r="N302" s="401"/>
      <c r="O302" s="401"/>
      <c r="P302" s="401"/>
      <c r="Q302" s="401"/>
      <c r="R302" s="482">
        <v>2.4</v>
      </c>
      <c r="S302" s="175">
        <f>ROUND((K302*H297+1.3*K302*J297+R302*G297),4)</f>
        <v>578.40750000000003</v>
      </c>
      <c r="T302" s="175">
        <f>ROUND((L302*0.9*H297+1.3*L302*0.9*J297+R302*G297),4)</f>
        <v>619.82780000000002</v>
      </c>
      <c r="U302" s="175">
        <f>ROUND((L302*H297+1.3*L302*J297+R302*G297),4)</f>
        <v>672.69749999999999</v>
      </c>
      <c r="V302" s="175">
        <f>ROUND((K302*I297+1.3*K302*M297+R302*F297),4)</f>
        <v>49.23</v>
      </c>
      <c r="W302" s="175">
        <f>ROUND((L302*0.9*I297+1.3*L302*0.9*M297+R302*F297),4)</f>
        <v>52.551000000000002</v>
      </c>
      <c r="X302" s="175">
        <f>ROUND((L302*I297+1.3*L302*M297+R302*F297),4)</f>
        <v>56.79</v>
      </c>
      <c r="Y302" s="489">
        <f>ROUND((O297*S302*E297*N297/1000000),4)</f>
        <v>0</v>
      </c>
      <c r="Z302" s="489">
        <f>ROUND((P297*T302*E297*N297/1000000),4)</f>
        <v>1.8599999999999998E-2</v>
      </c>
      <c r="AA302" s="489">
        <f>ROUND((Q297*U302*E297*N297/1000000),4)</f>
        <v>4.0399999999999998E-2</v>
      </c>
      <c r="AB302" s="937" t="s">
        <v>65</v>
      </c>
      <c r="AC302" s="938" t="s">
        <v>66</v>
      </c>
      <c r="AD302" s="939">
        <f>ROUND((((W302*D297)/1800)),4)</f>
        <v>2.92E-2</v>
      </c>
      <c r="AE302" s="939">
        <f>ROUND(((Y302+Z302+AA302)),4)</f>
        <v>5.8999999999999997E-2</v>
      </c>
      <c r="AF302" s="61">
        <f>SUM(AD297:AD302)</f>
        <v>8.2100000000000006E-2</v>
      </c>
      <c r="AG302" s="61">
        <f>SUM(AE297:AE302)</f>
        <v>0.16720000000000002</v>
      </c>
      <c r="AH302" s="61"/>
      <c r="AI302" s="61"/>
    </row>
    <row r="303" spans="1:35" s="417" customFormat="1" ht="15" customHeight="1" x14ac:dyDescent="0.2">
      <c r="A303" s="1284" t="s">
        <v>712</v>
      </c>
      <c r="B303" s="1437"/>
      <c r="C303" s="1438"/>
      <c r="D303" s="1438"/>
      <c r="E303" s="1438"/>
      <c r="F303" s="1438"/>
      <c r="G303" s="1438"/>
      <c r="H303" s="1438"/>
      <c r="I303" s="1438"/>
      <c r="J303" s="1438"/>
      <c r="K303" s="1438"/>
      <c r="L303" s="1438"/>
      <c r="M303" s="1438"/>
      <c r="N303" s="1438"/>
      <c r="O303" s="1438"/>
      <c r="P303" s="1438"/>
      <c r="Q303" s="1438"/>
      <c r="R303" s="1438"/>
      <c r="S303" s="1438"/>
      <c r="T303" s="1438"/>
      <c r="U303" s="1438"/>
      <c r="V303" s="1438"/>
      <c r="W303" s="1438"/>
      <c r="X303" s="1438"/>
      <c r="Y303" s="1438"/>
      <c r="Z303" s="1438"/>
      <c r="AA303" s="1438"/>
      <c r="AB303" s="1438"/>
      <c r="AC303" s="1438"/>
      <c r="AD303" s="1438"/>
      <c r="AE303" s="1439"/>
      <c r="AF303" s="61"/>
      <c r="AG303" s="61"/>
      <c r="AH303" s="61"/>
      <c r="AI303" s="61"/>
    </row>
    <row r="304" spans="1:35" s="417" customFormat="1" ht="15" customHeight="1" x14ac:dyDescent="0.2">
      <c r="A304" s="560" t="s">
        <v>759</v>
      </c>
      <c r="B304" s="486" t="s">
        <v>343</v>
      </c>
      <c r="C304" s="413">
        <v>4</v>
      </c>
      <c r="D304" s="381">
        <v>1</v>
      </c>
      <c r="E304" s="381">
        <v>1</v>
      </c>
      <c r="F304" s="381">
        <v>6</v>
      </c>
      <c r="G304" s="381">
        <v>60</v>
      </c>
      <c r="H304" s="381">
        <f>(8-1-0.75*2)*60*E304-J304-8*0.12*60</f>
        <v>57.900000000000006</v>
      </c>
      <c r="I304" s="381">
        <v>14</v>
      </c>
      <c r="J304" s="381">
        <f>(8-1-0.75*2)*0.65*60*E304</f>
        <v>214.5</v>
      </c>
      <c r="K304" s="381">
        <v>2.4700000000000002</v>
      </c>
      <c r="L304" s="381">
        <v>2.4700000000000002</v>
      </c>
      <c r="M304" s="381">
        <v>10</v>
      </c>
      <c r="N304" s="381">
        <f>D304/E304</f>
        <v>1</v>
      </c>
      <c r="O304" s="485">
        <v>0</v>
      </c>
      <c r="P304" s="485">
        <v>30</v>
      </c>
      <c r="Q304" s="483">
        <v>60</v>
      </c>
      <c r="R304" s="381">
        <v>0.48</v>
      </c>
      <c r="S304" s="208">
        <f>ROUND((K304*H304+1.3*K304*J304+R304*G304),4)</f>
        <v>860.57249999999999</v>
      </c>
      <c r="T304" s="208">
        <f>ROUND((L304*H304+1.3*L304*J304+R304*G304),4)</f>
        <v>860.57249999999999</v>
      </c>
      <c r="U304" s="208">
        <f>ROUND((L304*H304+1.3*L304*J304+R304*G304),4)</f>
        <v>860.57249999999999</v>
      </c>
      <c r="V304" s="208">
        <f>ROUND((K304*I304+1.3*K304*M304+R304*F304),4)</f>
        <v>69.569999999999993</v>
      </c>
      <c r="W304" s="208">
        <f>ROUND((L304*I304+1.3*L304*M304+R304*F304),4)</f>
        <v>69.569999999999993</v>
      </c>
      <c r="X304" s="208">
        <f>ROUND((L304*I304+1.3*L304*M304+R304*F304),4)</f>
        <v>69.569999999999993</v>
      </c>
      <c r="Y304" s="404">
        <f>ROUND((O304*S304*E304*N304/1000000),4)</f>
        <v>0</v>
      </c>
      <c r="Z304" s="404">
        <f>ROUND((P304*T304*E304*N304/1000000),4)</f>
        <v>2.58E-2</v>
      </c>
      <c r="AA304" s="404">
        <f>ROUND((Q304*U304*E304*N304/1000000),4)</f>
        <v>5.16E-2</v>
      </c>
      <c r="AB304" s="937" t="s">
        <v>48</v>
      </c>
      <c r="AC304" s="938" t="s">
        <v>49</v>
      </c>
      <c r="AD304" s="939">
        <f>ROUND((((W304*D304)/1800)*0.8),4)</f>
        <v>3.09E-2</v>
      </c>
      <c r="AE304" s="939">
        <f>ROUND(((Y304+Z304+AA304)*0.8),4)</f>
        <v>6.1899999999999997E-2</v>
      </c>
      <c r="AF304" s="61"/>
      <c r="AG304" s="61"/>
      <c r="AH304" s="61"/>
      <c r="AI304" s="61"/>
    </row>
    <row r="305" spans="1:35" s="417" customFormat="1" ht="15" customHeight="1" x14ac:dyDescent="0.2">
      <c r="A305" s="561" t="s">
        <v>166</v>
      </c>
      <c r="B305" s="487" t="s">
        <v>359</v>
      </c>
      <c r="C305" s="414"/>
      <c r="D305" s="400"/>
      <c r="E305" s="400"/>
      <c r="F305" s="400"/>
      <c r="G305" s="400"/>
      <c r="H305" s="400"/>
      <c r="I305" s="400"/>
      <c r="J305" s="400"/>
      <c r="K305" s="400"/>
      <c r="L305" s="400"/>
      <c r="M305" s="400"/>
      <c r="N305" s="400"/>
      <c r="O305" s="400"/>
      <c r="P305" s="400"/>
      <c r="Q305" s="400"/>
      <c r="R305" s="488"/>
      <c r="S305" s="407"/>
      <c r="T305" s="407"/>
      <c r="U305" s="407"/>
      <c r="V305" s="407"/>
      <c r="W305" s="407"/>
      <c r="X305" s="407"/>
      <c r="Y305" s="407"/>
      <c r="Z305" s="407"/>
      <c r="AA305" s="407"/>
      <c r="AB305" s="937" t="s">
        <v>51</v>
      </c>
      <c r="AC305" s="938" t="s">
        <v>52</v>
      </c>
      <c r="AD305" s="939">
        <f>ROUND((((W304*D304)/1800)*0.13),4)</f>
        <v>5.0000000000000001E-3</v>
      </c>
      <c r="AE305" s="939">
        <f>ROUND(((Y304+Z304+AA304)*0.13),4)</f>
        <v>1.01E-2</v>
      </c>
      <c r="AF305" s="61"/>
      <c r="AG305" s="61"/>
      <c r="AH305" s="61"/>
      <c r="AI305" s="61"/>
    </row>
    <row r="306" spans="1:35" s="417" customFormat="1" ht="15" customHeight="1" x14ac:dyDescent="0.2">
      <c r="A306" s="562"/>
      <c r="B306" s="414" t="s">
        <v>360</v>
      </c>
      <c r="C306" s="415"/>
      <c r="D306" s="400"/>
      <c r="E306" s="400"/>
      <c r="F306" s="400"/>
      <c r="G306" s="400"/>
      <c r="H306" s="400"/>
      <c r="I306" s="400"/>
      <c r="J306" s="400"/>
      <c r="K306" s="400">
        <v>0.19</v>
      </c>
      <c r="L306" s="400">
        <v>0.23</v>
      </c>
      <c r="M306" s="400"/>
      <c r="N306" s="400"/>
      <c r="O306" s="400"/>
      <c r="P306" s="400"/>
      <c r="Q306" s="400"/>
      <c r="R306" s="482">
        <v>9.7000000000000003E-2</v>
      </c>
      <c r="S306" s="208">
        <f>ROUND((K306*H304+1.3*K306*J304+R306*G304),4)</f>
        <v>69.802499999999995</v>
      </c>
      <c r="T306" s="208">
        <f>ROUND((L306*0.9*H304+1.3*L306*0.9*J304+R306*G304),4)</f>
        <v>75.527299999999997</v>
      </c>
      <c r="U306" s="208">
        <f>ROUND((L306*H304+1.3*L306*J304+R306*G304),4)</f>
        <v>83.272499999999994</v>
      </c>
      <c r="V306" s="208">
        <f>ROUND((K306*I304+1.3*K306*M304+R306*F304),4)</f>
        <v>5.7119999999999997</v>
      </c>
      <c r="W306" s="208">
        <f>ROUND((L306*0.9*I304+1.3*L306*0.9*M304+R306*F304),4)</f>
        <v>6.1710000000000003</v>
      </c>
      <c r="X306" s="208">
        <f>ROUND((L306*I304+1.3*L306*M304+R306*F304),4)</f>
        <v>6.7919999999999998</v>
      </c>
      <c r="Y306" s="404">
        <f>ROUND((O304*S306*E304*N304/1000000),4)</f>
        <v>0</v>
      </c>
      <c r="Z306" s="404">
        <f>ROUND((P304*T306*E304*N304/1000000),4)</f>
        <v>2.3E-3</v>
      </c>
      <c r="AA306" s="404">
        <f>ROUND((Q304*U306*E304*N304/1000000),4)</f>
        <v>5.0000000000000001E-3</v>
      </c>
      <c r="AB306" s="937" t="s">
        <v>56</v>
      </c>
      <c r="AC306" s="938" t="s">
        <v>57</v>
      </c>
      <c r="AD306" s="939">
        <f>ROUND((((W306*D304)/1800)),4)</f>
        <v>3.3999999999999998E-3</v>
      </c>
      <c r="AE306" s="939">
        <f>ROUND(((Y306+Z306+AA306)),5)</f>
        <v>7.3000000000000001E-3</v>
      </c>
      <c r="AF306" s="61"/>
      <c r="AG306" s="61"/>
      <c r="AH306" s="61"/>
      <c r="AI306" s="61"/>
    </row>
    <row r="307" spans="1:35" s="417" customFormat="1" ht="15" customHeight="1" x14ac:dyDescent="0.2">
      <c r="A307" s="562"/>
      <c r="B307" s="414"/>
      <c r="C307" s="414"/>
      <c r="D307" s="400"/>
      <c r="E307" s="400"/>
      <c r="F307" s="400"/>
      <c r="G307" s="400"/>
      <c r="H307" s="400"/>
      <c r="I307" s="400"/>
      <c r="J307" s="400"/>
      <c r="K307" s="400">
        <v>0.43</v>
      </c>
      <c r="L307" s="400">
        <v>0.51</v>
      </c>
      <c r="M307" s="400"/>
      <c r="N307" s="400"/>
      <c r="O307" s="400"/>
      <c r="P307" s="400"/>
      <c r="Q307" s="400"/>
      <c r="R307" s="482">
        <v>0.3</v>
      </c>
      <c r="S307" s="208">
        <f>ROUND((K307*H304+1.3*K307*J304+R307*G304),4)</f>
        <v>162.80250000000001</v>
      </c>
      <c r="T307" s="208">
        <f>ROUND((L307*0.9*H304+1.3*L307*0.9*J304+R307*G304),4)</f>
        <v>172.56829999999999</v>
      </c>
      <c r="U307" s="208">
        <f>ROUND((L307*H304+1.3*L307*J304+R307*G304),4)</f>
        <v>189.74250000000001</v>
      </c>
      <c r="V307" s="208">
        <f>ROUND((K307*I304+1.3*K307*M304+R307*F304),4)</f>
        <v>13.41</v>
      </c>
      <c r="W307" s="208">
        <f>ROUND((L307*0.9*I304+1.3*L307*0.9*M304+R307*F304),4)</f>
        <v>14.193</v>
      </c>
      <c r="X307" s="208">
        <f>ROUND((L307*I304+1.3*M304+R307*F304),4)</f>
        <v>21.94</v>
      </c>
      <c r="Y307" s="404">
        <f>ROUND((O304*S307*E304*N304/1000000),4)</f>
        <v>0</v>
      </c>
      <c r="Z307" s="404">
        <f>ROUND((P304*T307*E304*N304/1000000),4)</f>
        <v>5.1999999999999998E-3</v>
      </c>
      <c r="AA307" s="404">
        <f>ROUND((Q304*U307*E304*N304/1000000),4)</f>
        <v>1.14E-2</v>
      </c>
      <c r="AB307" s="937" t="s">
        <v>177</v>
      </c>
      <c r="AC307" s="938" t="s">
        <v>178</v>
      </c>
      <c r="AD307" s="939">
        <f>ROUND((((W307*D304)/1800)),4)</f>
        <v>7.9000000000000008E-3</v>
      </c>
      <c r="AE307" s="939">
        <f>ROUND(((Y307+Z307+AA307)),4)</f>
        <v>1.66E-2</v>
      </c>
      <c r="AF307" s="61"/>
      <c r="AG307" s="61"/>
      <c r="AH307" s="61"/>
      <c r="AI307" s="61"/>
    </row>
    <row r="308" spans="1:35" s="417" customFormat="1" ht="15" customHeight="1" x14ac:dyDescent="0.2">
      <c r="A308" s="562"/>
      <c r="B308" s="414"/>
      <c r="C308" s="414"/>
      <c r="D308" s="400"/>
      <c r="E308" s="400"/>
      <c r="F308" s="400"/>
      <c r="G308" s="400"/>
      <c r="H308" s="400"/>
      <c r="I308" s="400"/>
      <c r="J308" s="400"/>
      <c r="K308" s="400">
        <v>0.27</v>
      </c>
      <c r="L308" s="400">
        <v>0.41</v>
      </c>
      <c r="M308" s="400"/>
      <c r="N308" s="400"/>
      <c r="O308" s="400"/>
      <c r="P308" s="400"/>
      <c r="Q308" s="400"/>
      <c r="R308" s="482">
        <v>0.06</v>
      </c>
      <c r="S308" s="208">
        <f>ROUND((K308*H304+1.3*K308*J304+R308*G304),4)</f>
        <v>94.522499999999994</v>
      </c>
      <c r="T308" s="208">
        <f>ROUND((L308*0.9*H304+1.3*L308*0.9*J304+R308*G304),4)</f>
        <v>127.8608</v>
      </c>
      <c r="U308" s="208">
        <f>ROUND((L308*H304+1.3*L308*J304+R308*G304),4)</f>
        <v>141.66749999999999</v>
      </c>
      <c r="V308" s="208">
        <f>ROUND((K308*I304+1.3*K308*M304+R308*F304),4)</f>
        <v>7.65</v>
      </c>
      <c r="W308" s="208">
        <f>ROUND((L308*0.9*I304+1.3*L308*0.9*M304+R308*F304),4)</f>
        <v>10.323</v>
      </c>
      <c r="X308" s="208">
        <f>ROUND((L308*I304+1.3*L308*M304+R308*F304),4)</f>
        <v>11.43</v>
      </c>
      <c r="Y308" s="404">
        <f>ROUND((O304*S308*E304*N304/1000000),4)</f>
        <v>0</v>
      </c>
      <c r="Z308" s="404">
        <f>ROUND((P304*T308*E304*N304/1000000),4)</f>
        <v>3.8E-3</v>
      </c>
      <c r="AA308" s="404">
        <f>ROUND((Q304*U308*E304*N304/1000000),4)</f>
        <v>8.5000000000000006E-3</v>
      </c>
      <c r="AB308" s="937" t="s">
        <v>61</v>
      </c>
      <c r="AC308" s="938" t="s">
        <v>62</v>
      </c>
      <c r="AD308" s="939">
        <f>ROUND((((W308*D304)/1800)),4)</f>
        <v>5.7000000000000002E-3</v>
      </c>
      <c r="AE308" s="939">
        <f>ROUND(((Y308+Z308+AA308)),4)</f>
        <v>1.23E-2</v>
      </c>
      <c r="AF308" s="61"/>
      <c r="AG308" s="61"/>
      <c r="AH308" s="61"/>
      <c r="AI308" s="61"/>
    </row>
    <row r="309" spans="1:35" s="417" customFormat="1" ht="15" customHeight="1" x14ac:dyDescent="0.2">
      <c r="A309" s="513"/>
      <c r="B309" s="416"/>
      <c r="C309" s="416"/>
      <c r="D309" s="401"/>
      <c r="E309" s="401"/>
      <c r="F309" s="401"/>
      <c r="G309" s="401"/>
      <c r="H309" s="401"/>
      <c r="I309" s="401"/>
      <c r="J309" s="401"/>
      <c r="K309" s="401">
        <v>1.29</v>
      </c>
      <c r="L309" s="401">
        <v>1.57</v>
      </c>
      <c r="M309" s="401"/>
      <c r="N309" s="401"/>
      <c r="O309" s="401"/>
      <c r="P309" s="401"/>
      <c r="Q309" s="401"/>
      <c r="R309" s="482">
        <v>2.4</v>
      </c>
      <c r="S309" s="175">
        <f>ROUND((K309*H304+1.3*K309*J304+R309*G304),4)</f>
        <v>578.40750000000003</v>
      </c>
      <c r="T309" s="175">
        <f>ROUND((L309*0.9*H304+1.3*L309*0.9*J304+R309*G304),4)</f>
        <v>619.82780000000002</v>
      </c>
      <c r="U309" s="175">
        <f>ROUND((L309*H304+1.3*L309*J304+R309*G304),4)</f>
        <v>672.69749999999999</v>
      </c>
      <c r="V309" s="175">
        <f>ROUND((K309*I304+1.3*K309*M304+R309*F304),4)</f>
        <v>49.23</v>
      </c>
      <c r="W309" s="175">
        <f>ROUND((L309*0.9*I304+1.3*L309*0.9*M304+R309*F304),4)</f>
        <v>52.551000000000002</v>
      </c>
      <c r="X309" s="175">
        <f>ROUND((L309*I304+1.3*L309*M304+R309*F304),4)</f>
        <v>56.79</v>
      </c>
      <c r="Y309" s="489">
        <f>ROUND((O304*S309*E304*N304/1000000),4)</f>
        <v>0</v>
      </c>
      <c r="Z309" s="489">
        <f>ROUND((P304*T309*E304*N304/1000000),4)</f>
        <v>1.8599999999999998E-2</v>
      </c>
      <c r="AA309" s="489">
        <f>ROUND((Q304*U309*E304*N304/1000000),4)</f>
        <v>4.0399999999999998E-2</v>
      </c>
      <c r="AB309" s="937" t="s">
        <v>65</v>
      </c>
      <c r="AC309" s="938" t="s">
        <v>66</v>
      </c>
      <c r="AD309" s="939">
        <f>ROUND((((W309*D304)/1800)),4)</f>
        <v>2.92E-2</v>
      </c>
      <c r="AE309" s="939">
        <f>ROUND(((Y309+Z309+AA309)),4)</f>
        <v>5.8999999999999997E-2</v>
      </c>
      <c r="AF309" s="61">
        <f>SUM(AD304:AD309)</f>
        <v>8.2100000000000006E-2</v>
      </c>
      <c r="AG309" s="61">
        <f>SUM(AE304:AE309)</f>
        <v>0.16720000000000002</v>
      </c>
      <c r="AH309" s="61"/>
      <c r="AI309" s="61"/>
    </row>
    <row r="310" spans="1:35" s="417" customFormat="1" ht="15" customHeight="1" x14ac:dyDescent="0.2">
      <c r="A310" s="1284" t="s">
        <v>713</v>
      </c>
      <c r="B310" s="1437"/>
      <c r="C310" s="1438"/>
      <c r="D310" s="1438"/>
      <c r="E310" s="1438"/>
      <c r="F310" s="1438"/>
      <c r="G310" s="1438"/>
      <c r="H310" s="1438"/>
      <c r="I310" s="1438"/>
      <c r="J310" s="1438"/>
      <c r="K310" s="1438"/>
      <c r="L310" s="1438"/>
      <c r="M310" s="1438"/>
      <c r="N310" s="1438"/>
      <c r="O310" s="1438"/>
      <c r="P310" s="1438"/>
      <c r="Q310" s="1438"/>
      <c r="R310" s="1438"/>
      <c r="S310" s="1438"/>
      <c r="T310" s="1438"/>
      <c r="U310" s="1438"/>
      <c r="V310" s="1438"/>
      <c r="W310" s="1438"/>
      <c r="X310" s="1438"/>
      <c r="Y310" s="1438"/>
      <c r="Z310" s="1438"/>
      <c r="AA310" s="1438"/>
      <c r="AB310" s="1438"/>
      <c r="AC310" s="1438"/>
      <c r="AD310" s="1438"/>
      <c r="AE310" s="1439"/>
      <c r="AF310" s="61"/>
      <c r="AG310" s="61"/>
      <c r="AH310" s="61"/>
      <c r="AI310" s="61"/>
    </row>
    <row r="311" spans="1:35" s="417" customFormat="1" ht="15" customHeight="1" x14ac:dyDescent="0.2">
      <c r="A311" s="560" t="s">
        <v>760</v>
      </c>
      <c r="B311" s="486" t="s">
        <v>343</v>
      </c>
      <c r="C311" s="413">
        <v>4</v>
      </c>
      <c r="D311" s="381">
        <v>1</v>
      </c>
      <c r="E311" s="381">
        <v>1</v>
      </c>
      <c r="F311" s="381">
        <v>6</v>
      </c>
      <c r="G311" s="381">
        <v>60</v>
      </c>
      <c r="H311" s="381">
        <f>(8-1-0.75*2)*60*E311-J311-8*0.12*60</f>
        <v>57.900000000000006</v>
      </c>
      <c r="I311" s="381">
        <v>14</v>
      </c>
      <c r="J311" s="381">
        <f>(8-1-0.75*2)*0.65*60*E311</f>
        <v>214.5</v>
      </c>
      <c r="K311" s="381">
        <v>2.4700000000000002</v>
      </c>
      <c r="L311" s="381">
        <v>2.4700000000000002</v>
      </c>
      <c r="M311" s="381">
        <v>10</v>
      </c>
      <c r="N311" s="381">
        <f>D311/E311</f>
        <v>1</v>
      </c>
      <c r="O311" s="485">
        <v>0</v>
      </c>
      <c r="P311" s="485">
        <v>30</v>
      </c>
      <c r="Q311" s="483">
        <v>60</v>
      </c>
      <c r="R311" s="381">
        <v>0.48</v>
      </c>
      <c r="S311" s="208">
        <f>ROUND((K311*H311+1.3*K311*J311+R311*G311),4)</f>
        <v>860.57249999999999</v>
      </c>
      <c r="T311" s="208">
        <f>ROUND((L311*H311+1.3*L311*J311+R311*G311),4)</f>
        <v>860.57249999999999</v>
      </c>
      <c r="U311" s="208">
        <f>ROUND((L311*H311+1.3*L311*J311+R311*G311),4)</f>
        <v>860.57249999999999</v>
      </c>
      <c r="V311" s="208">
        <f>ROUND((K311*I311+1.3*K311*M311+R311*F311),4)</f>
        <v>69.569999999999993</v>
      </c>
      <c r="W311" s="208">
        <f>ROUND((L311*I311+1.3*L311*M311+R311*F311),4)</f>
        <v>69.569999999999993</v>
      </c>
      <c r="X311" s="208">
        <f>ROUND((L311*I311+1.3*L311*M311+R311*F311),4)</f>
        <v>69.569999999999993</v>
      </c>
      <c r="Y311" s="404">
        <f>ROUND((O311*S311*E311*N311/1000000),4)</f>
        <v>0</v>
      </c>
      <c r="Z311" s="404">
        <f>ROUND((P311*T311*E311*N311/1000000),4)</f>
        <v>2.58E-2</v>
      </c>
      <c r="AA311" s="404">
        <f>ROUND((Q311*U311*E311*N311/1000000),4)</f>
        <v>5.16E-2</v>
      </c>
      <c r="AB311" s="937" t="s">
        <v>48</v>
      </c>
      <c r="AC311" s="938" t="s">
        <v>49</v>
      </c>
      <c r="AD311" s="939">
        <f>ROUND((((W311*D311)/1800)*0.8),4)</f>
        <v>3.09E-2</v>
      </c>
      <c r="AE311" s="939">
        <f>ROUND(((Y311+Z311+AA311)*0.8),4)</f>
        <v>6.1899999999999997E-2</v>
      </c>
      <c r="AF311" s="61"/>
      <c r="AG311" s="61"/>
      <c r="AH311" s="61"/>
      <c r="AI311" s="61"/>
    </row>
    <row r="312" spans="1:35" s="417" customFormat="1" ht="15" customHeight="1" x14ac:dyDescent="0.2">
      <c r="A312" s="561" t="s">
        <v>166</v>
      </c>
      <c r="B312" s="487" t="s">
        <v>359</v>
      </c>
      <c r="C312" s="414"/>
      <c r="D312" s="400"/>
      <c r="E312" s="400"/>
      <c r="F312" s="400"/>
      <c r="G312" s="400"/>
      <c r="H312" s="400"/>
      <c r="I312" s="400"/>
      <c r="J312" s="400"/>
      <c r="K312" s="400"/>
      <c r="L312" s="400"/>
      <c r="M312" s="400"/>
      <c r="N312" s="400"/>
      <c r="O312" s="400"/>
      <c r="P312" s="400"/>
      <c r="Q312" s="400"/>
      <c r="R312" s="488"/>
      <c r="S312" s="407"/>
      <c r="T312" s="407"/>
      <c r="U312" s="407"/>
      <c r="V312" s="407"/>
      <c r="W312" s="407"/>
      <c r="X312" s="407"/>
      <c r="Y312" s="407"/>
      <c r="Z312" s="407"/>
      <c r="AA312" s="407"/>
      <c r="AB312" s="937" t="s">
        <v>51</v>
      </c>
      <c r="AC312" s="938" t="s">
        <v>52</v>
      </c>
      <c r="AD312" s="939">
        <f>ROUND((((W311*D311)/1800)*0.13),4)</f>
        <v>5.0000000000000001E-3</v>
      </c>
      <c r="AE312" s="939">
        <f>ROUND(((Y311+Z311+AA311)*0.13),4)</f>
        <v>1.01E-2</v>
      </c>
      <c r="AF312" s="61"/>
      <c r="AG312" s="61"/>
      <c r="AH312" s="61"/>
      <c r="AI312" s="61"/>
    </row>
    <row r="313" spans="1:35" s="417" customFormat="1" ht="15" customHeight="1" x14ac:dyDescent="0.2">
      <c r="A313" s="562"/>
      <c r="B313" s="414" t="s">
        <v>360</v>
      </c>
      <c r="C313" s="415"/>
      <c r="D313" s="400"/>
      <c r="E313" s="400"/>
      <c r="F313" s="400"/>
      <c r="G313" s="400"/>
      <c r="H313" s="400"/>
      <c r="I313" s="400"/>
      <c r="J313" s="400"/>
      <c r="K313" s="400">
        <v>0.19</v>
      </c>
      <c r="L313" s="400">
        <v>0.23</v>
      </c>
      <c r="M313" s="400"/>
      <c r="N313" s="400"/>
      <c r="O313" s="400"/>
      <c r="P313" s="400"/>
      <c r="Q313" s="400"/>
      <c r="R313" s="482">
        <v>9.7000000000000003E-2</v>
      </c>
      <c r="S313" s="208">
        <f>ROUND((K313*H311+1.3*K313*J311+R313*G311),4)</f>
        <v>69.802499999999995</v>
      </c>
      <c r="T313" s="208">
        <f>ROUND((L313*0.9*H311+1.3*L313*0.9*J311+R313*G311),4)</f>
        <v>75.527299999999997</v>
      </c>
      <c r="U313" s="208">
        <f>ROUND((L313*H311+1.3*L313*J311+R313*G311),4)</f>
        <v>83.272499999999994</v>
      </c>
      <c r="V313" s="208">
        <f>ROUND((K313*I311+1.3*K313*M311+R313*F311),4)</f>
        <v>5.7119999999999997</v>
      </c>
      <c r="W313" s="208">
        <f>ROUND((L313*0.9*I311+1.3*L313*0.9*M311+R313*F311),4)</f>
        <v>6.1710000000000003</v>
      </c>
      <c r="X313" s="208">
        <f>ROUND((L313*I311+1.3*L313*M311+R313*F311),4)</f>
        <v>6.7919999999999998</v>
      </c>
      <c r="Y313" s="404">
        <f>ROUND((O311*S313*E311*N311/1000000),4)</f>
        <v>0</v>
      </c>
      <c r="Z313" s="404">
        <f>ROUND((P311*T313*E311*N311/1000000),4)</f>
        <v>2.3E-3</v>
      </c>
      <c r="AA313" s="404">
        <f>ROUND((Q311*U313*E311*N311/1000000),4)</f>
        <v>5.0000000000000001E-3</v>
      </c>
      <c r="AB313" s="937" t="s">
        <v>56</v>
      </c>
      <c r="AC313" s="938" t="s">
        <v>57</v>
      </c>
      <c r="AD313" s="939">
        <f>ROUND((((W313*D311)/1800)),4)</f>
        <v>3.3999999999999998E-3</v>
      </c>
      <c r="AE313" s="939">
        <f>ROUND(((Y313+Z313+AA313)),5)</f>
        <v>7.3000000000000001E-3</v>
      </c>
      <c r="AF313" s="61"/>
      <c r="AG313" s="61"/>
      <c r="AH313" s="61"/>
      <c r="AI313" s="61"/>
    </row>
    <row r="314" spans="1:35" s="417" customFormat="1" ht="15" customHeight="1" x14ac:dyDescent="0.2">
      <c r="A314" s="562"/>
      <c r="B314" s="414"/>
      <c r="C314" s="414"/>
      <c r="D314" s="400"/>
      <c r="E314" s="400"/>
      <c r="F314" s="400"/>
      <c r="G314" s="400"/>
      <c r="H314" s="400"/>
      <c r="I314" s="400"/>
      <c r="J314" s="400"/>
      <c r="K314" s="400">
        <v>0.43</v>
      </c>
      <c r="L314" s="400">
        <v>0.51</v>
      </c>
      <c r="M314" s="400"/>
      <c r="N314" s="400"/>
      <c r="O314" s="400"/>
      <c r="P314" s="400"/>
      <c r="Q314" s="400"/>
      <c r="R314" s="482">
        <v>0.3</v>
      </c>
      <c r="S314" s="208">
        <f>ROUND((K314*H311+1.3*K314*J311+R314*G311),4)</f>
        <v>162.80250000000001</v>
      </c>
      <c r="T314" s="208">
        <f>ROUND((L314*0.9*H311+1.3*L314*0.9*J311+R314*G311),4)</f>
        <v>172.56829999999999</v>
      </c>
      <c r="U314" s="208">
        <f>ROUND((L314*H311+1.3*L314*J311+R314*G311),4)</f>
        <v>189.74250000000001</v>
      </c>
      <c r="V314" s="208">
        <f>ROUND((K314*I311+1.3*K314*M311+R314*F311),4)</f>
        <v>13.41</v>
      </c>
      <c r="W314" s="208">
        <f>ROUND((L314*0.9*I311+1.3*L314*0.9*M311+R314*F311),4)</f>
        <v>14.193</v>
      </c>
      <c r="X314" s="208">
        <f>ROUND((L314*I311+1.3*M311+R314*F311),4)</f>
        <v>21.94</v>
      </c>
      <c r="Y314" s="404">
        <f>ROUND((O311*S314*E311*N311/1000000),4)</f>
        <v>0</v>
      </c>
      <c r="Z314" s="404">
        <f>ROUND((P311*T314*E311*N311/1000000),4)</f>
        <v>5.1999999999999998E-3</v>
      </c>
      <c r="AA314" s="404">
        <f>ROUND((Q311*U314*E311*N311/1000000),4)</f>
        <v>1.14E-2</v>
      </c>
      <c r="AB314" s="937" t="s">
        <v>177</v>
      </c>
      <c r="AC314" s="938" t="s">
        <v>178</v>
      </c>
      <c r="AD314" s="939">
        <f>ROUND((((W314*D311)/1800)),4)</f>
        <v>7.9000000000000008E-3</v>
      </c>
      <c r="AE314" s="939">
        <f>ROUND(((Y314+Z314+AA314)),4)</f>
        <v>1.66E-2</v>
      </c>
      <c r="AF314" s="61"/>
      <c r="AG314" s="61"/>
      <c r="AH314" s="61"/>
      <c r="AI314" s="61"/>
    </row>
    <row r="315" spans="1:35" s="417" customFormat="1" ht="15" customHeight="1" x14ac:dyDescent="0.2">
      <c r="A315" s="562"/>
      <c r="B315" s="414"/>
      <c r="C315" s="414"/>
      <c r="D315" s="400"/>
      <c r="E315" s="400"/>
      <c r="F315" s="400"/>
      <c r="G315" s="400"/>
      <c r="H315" s="400"/>
      <c r="I315" s="400"/>
      <c r="J315" s="400"/>
      <c r="K315" s="400">
        <v>0.27</v>
      </c>
      <c r="L315" s="400">
        <v>0.41</v>
      </c>
      <c r="M315" s="400"/>
      <c r="N315" s="400"/>
      <c r="O315" s="400"/>
      <c r="P315" s="400"/>
      <c r="Q315" s="400"/>
      <c r="R315" s="482">
        <v>0.06</v>
      </c>
      <c r="S315" s="208">
        <f>ROUND((K315*H311+1.3*K315*J311+R315*G311),4)</f>
        <v>94.522499999999994</v>
      </c>
      <c r="T315" s="208">
        <f>ROUND((L315*0.9*H311+1.3*L315*0.9*J311+R315*G311),4)</f>
        <v>127.8608</v>
      </c>
      <c r="U315" s="208">
        <f>ROUND((L315*H311+1.3*L315*J311+R315*G311),4)</f>
        <v>141.66749999999999</v>
      </c>
      <c r="V315" s="208">
        <f>ROUND((K315*I311+1.3*K315*M311+R315*F311),4)</f>
        <v>7.65</v>
      </c>
      <c r="W315" s="208">
        <f>ROUND((L315*0.9*I311+1.3*L315*0.9*M311+R315*F311),4)</f>
        <v>10.323</v>
      </c>
      <c r="X315" s="208">
        <f>ROUND((L315*I311+1.3*L315*M311+R315*F311),4)</f>
        <v>11.43</v>
      </c>
      <c r="Y315" s="404">
        <f>ROUND((O311*S315*E311*N311/1000000),4)</f>
        <v>0</v>
      </c>
      <c r="Z315" s="404">
        <f>ROUND((P311*T315*E311*N311/1000000),4)</f>
        <v>3.8E-3</v>
      </c>
      <c r="AA315" s="404">
        <f>ROUND((Q311*U315*E311*N311/1000000),4)</f>
        <v>8.5000000000000006E-3</v>
      </c>
      <c r="AB315" s="937" t="s">
        <v>61</v>
      </c>
      <c r="AC315" s="938" t="s">
        <v>62</v>
      </c>
      <c r="AD315" s="939">
        <f>ROUND((((W315*D311)/1800)),4)</f>
        <v>5.7000000000000002E-3</v>
      </c>
      <c r="AE315" s="939">
        <f>ROUND(((Y315+Z315+AA315)),4)</f>
        <v>1.23E-2</v>
      </c>
      <c r="AF315" s="61"/>
      <c r="AG315" s="61"/>
      <c r="AH315" s="61"/>
      <c r="AI315" s="61"/>
    </row>
    <row r="316" spans="1:35" s="417" customFormat="1" ht="15" customHeight="1" x14ac:dyDescent="0.2">
      <c r="A316" s="513"/>
      <c r="B316" s="416"/>
      <c r="C316" s="416"/>
      <c r="D316" s="401"/>
      <c r="E316" s="401"/>
      <c r="F316" s="401"/>
      <c r="G316" s="401"/>
      <c r="H316" s="401"/>
      <c r="I316" s="401"/>
      <c r="J316" s="401"/>
      <c r="K316" s="401">
        <v>1.29</v>
      </c>
      <c r="L316" s="401">
        <v>1.57</v>
      </c>
      <c r="M316" s="401"/>
      <c r="N316" s="401"/>
      <c r="O316" s="401"/>
      <c r="P316" s="401"/>
      <c r="Q316" s="401"/>
      <c r="R316" s="482">
        <v>2.4</v>
      </c>
      <c r="S316" s="175">
        <f>ROUND((K316*H311+1.3*K316*J311+R316*G311),4)</f>
        <v>578.40750000000003</v>
      </c>
      <c r="T316" s="175">
        <f>ROUND((L316*0.9*H311+1.3*L316*0.9*J311+R316*G311),4)</f>
        <v>619.82780000000002</v>
      </c>
      <c r="U316" s="175">
        <f>ROUND((L316*H311+1.3*L316*J311+R316*G311),4)</f>
        <v>672.69749999999999</v>
      </c>
      <c r="V316" s="175">
        <f>ROUND((K316*I311+1.3*K316*M311+R316*F311),4)</f>
        <v>49.23</v>
      </c>
      <c r="W316" s="175">
        <f>ROUND((L316*0.9*I311+1.3*L316*0.9*M311+R316*F311),4)</f>
        <v>52.551000000000002</v>
      </c>
      <c r="X316" s="175">
        <f>ROUND((L316*I311+1.3*L316*M311+R316*F311),4)</f>
        <v>56.79</v>
      </c>
      <c r="Y316" s="489">
        <f>ROUND((O311*S316*E311*N311/1000000),4)</f>
        <v>0</v>
      </c>
      <c r="Z316" s="489">
        <f>ROUND((P311*T316*E311*N311/1000000),4)</f>
        <v>1.8599999999999998E-2</v>
      </c>
      <c r="AA316" s="489">
        <f>ROUND((Q311*U316*E311*N311/1000000),4)</f>
        <v>4.0399999999999998E-2</v>
      </c>
      <c r="AB316" s="937" t="s">
        <v>65</v>
      </c>
      <c r="AC316" s="938" t="s">
        <v>66</v>
      </c>
      <c r="AD316" s="939">
        <f>ROUND((((W316*D311)/1800)),4)</f>
        <v>2.92E-2</v>
      </c>
      <c r="AE316" s="939">
        <f>ROUND(((Y316+Z316+AA316)),4)</f>
        <v>5.8999999999999997E-2</v>
      </c>
      <c r="AF316" s="61">
        <f>SUM(AD311:AD316)</f>
        <v>8.2100000000000006E-2</v>
      </c>
      <c r="AG316" s="61">
        <f>SUM(AE311:AE316)</f>
        <v>0.16720000000000002</v>
      </c>
      <c r="AH316" s="61"/>
      <c r="AI316" s="61"/>
    </row>
    <row r="317" spans="1:35" s="417" customFormat="1" ht="15" customHeight="1" x14ac:dyDescent="0.2">
      <c r="A317" s="1284" t="s">
        <v>716</v>
      </c>
      <c r="B317" s="1437"/>
      <c r="C317" s="1438"/>
      <c r="D317" s="1438"/>
      <c r="E317" s="1438"/>
      <c r="F317" s="1438"/>
      <c r="G317" s="1438"/>
      <c r="H317" s="1438"/>
      <c r="I317" s="1438"/>
      <c r="J317" s="1438"/>
      <c r="K317" s="1438"/>
      <c r="L317" s="1438"/>
      <c r="M317" s="1438"/>
      <c r="N317" s="1438"/>
      <c r="O317" s="1438"/>
      <c r="P317" s="1438"/>
      <c r="Q317" s="1438"/>
      <c r="R317" s="1438"/>
      <c r="S317" s="1438"/>
      <c r="T317" s="1438"/>
      <c r="U317" s="1438"/>
      <c r="V317" s="1438"/>
      <c r="W317" s="1438"/>
      <c r="X317" s="1438"/>
      <c r="Y317" s="1438"/>
      <c r="Z317" s="1438"/>
      <c r="AA317" s="1438"/>
      <c r="AB317" s="1438"/>
      <c r="AC317" s="1438"/>
      <c r="AD317" s="1438"/>
      <c r="AE317" s="1439"/>
      <c r="AF317" s="61"/>
      <c r="AG317" s="61"/>
      <c r="AH317" s="61"/>
      <c r="AI317" s="61"/>
    </row>
    <row r="318" spans="1:35" s="417" customFormat="1" ht="15" customHeight="1" x14ac:dyDescent="0.2">
      <c r="A318" s="560" t="s">
        <v>1021</v>
      </c>
      <c r="B318" s="486" t="s">
        <v>343</v>
      </c>
      <c r="C318" s="413">
        <v>4</v>
      </c>
      <c r="D318" s="381">
        <v>1</v>
      </c>
      <c r="E318" s="381">
        <v>1</v>
      </c>
      <c r="F318" s="381">
        <v>6</v>
      </c>
      <c r="G318" s="381">
        <v>60</v>
      </c>
      <c r="H318" s="381">
        <f>(8-1-0.75*2)*60*E318-J318-8*0.12*60</f>
        <v>57.900000000000006</v>
      </c>
      <c r="I318" s="381">
        <v>14</v>
      </c>
      <c r="J318" s="381">
        <f>(8-1-0.75*2)*0.65*60*E318</f>
        <v>214.5</v>
      </c>
      <c r="K318" s="381">
        <v>2.4700000000000002</v>
      </c>
      <c r="L318" s="381">
        <v>2.4700000000000002</v>
      </c>
      <c r="M318" s="381">
        <v>10</v>
      </c>
      <c r="N318" s="381">
        <f>D318/E318</f>
        <v>1</v>
      </c>
      <c r="O318" s="485">
        <v>0</v>
      </c>
      <c r="P318" s="485">
        <v>30</v>
      </c>
      <c r="Q318" s="483">
        <v>60</v>
      </c>
      <c r="R318" s="381">
        <v>0.48</v>
      </c>
      <c r="S318" s="208">
        <f>ROUND((K318*H318+1.3*K318*J318+R318*G318),4)</f>
        <v>860.57249999999999</v>
      </c>
      <c r="T318" s="208">
        <f>ROUND((L318*H318+1.3*L318*J318+R318*G318),4)</f>
        <v>860.57249999999999</v>
      </c>
      <c r="U318" s="208">
        <f>ROUND((L318*H318+1.3*L318*J318+R318*G318),4)</f>
        <v>860.57249999999999</v>
      </c>
      <c r="V318" s="208">
        <f>ROUND((K318*I318+1.3*K318*M318+R318*F318),4)</f>
        <v>69.569999999999993</v>
      </c>
      <c r="W318" s="208">
        <f>ROUND((L318*I318+1.3*L318*M318+R318*F318),4)</f>
        <v>69.569999999999993</v>
      </c>
      <c r="X318" s="208">
        <f>ROUND((L318*I318+1.3*L318*M318+R318*F318),4)</f>
        <v>69.569999999999993</v>
      </c>
      <c r="Y318" s="404">
        <f>ROUND((O318*S318*E318*N318/1000000),4)</f>
        <v>0</v>
      </c>
      <c r="Z318" s="404">
        <f>ROUND((P318*T318*E318*N318/1000000),4)</f>
        <v>2.58E-2</v>
      </c>
      <c r="AA318" s="404">
        <f>ROUND((Q318*U318*E318*N318/1000000),4)</f>
        <v>5.16E-2</v>
      </c>
      <c r="AB318" s="937" t="s">
        <v>48</v>
      </c>
      <c r="AC318" s="938" t="s">
        <v>49</v>
      </c>
      <c r="AD318" s="939">
        <f>ROUND((((W318*D318)/1800)*0.8),4)</f>
        <v>3.09E-2</v>
      </c>
      <c r="AE318" s="939">
        <f>ROUND(((Y318+Z318+AA318)*0.8),4)</f>
        <v>6.1899999999999997E-2</v>
      </c>
      <c r="AF318" s="61"/>
      <c r="AG318" s="61"/>
      <c r="AH318" s="61"/>
      <c r="AI318" s="61"/>
    </row>
    <row r="319" spans="1:35" s="417" customFormat="1" ht="15" customHeight="1" x14ac:dyDescent="0.2">
      <c r="A319" s="561" t="s">
        <v>166</v>
      </c>
      <c r="B319" s="487" t="s">
        <v>359</v>
      </c>
      <c r="C319" s="414"/>
      <c r="D319" s="400"/>
      <c r="E319" s="400"/>
      <c r="F319" s="400"/>
      <c r="G319" s="400"/>
      <c r="H319" s="400"/>
      <c r="I319" s="400"/>
      <c r="J319" s="400"/>
      <c r="K319" s="400"/>
      <c r="L319" s="400"/>
      <c r="M319" s="400"/>
      <c r="N319" s="400"/>
      <c r="O319" s="400"/>
      <c r="P319" s="400"/>
      <c r="Q319" s="400"/>
      <c r="R319" s="488"/>
      <c r="S319" s="407"/>
      <c r="T319" s="407"/>
      <c r="U319" s="407"/>
      <c r="V319" s="407"/>
      <c r="W319" s="407"/>
      <c r="X319" s="407"/>
      <c r="Y319" s="407"/>
      <c r="Z319" s="407"/>
      <c r="AA319" s="407"/>
      <c r="AB319" s="937" t="s">
        <v>51</v>
      </c>
      <c r="AC319" s="938" t="s">
        <v>52</v>
      </c>
      <c r="AD319" s="939">
        <f>ROUND((((W318*D318)/1800)*0.13),4)</f>
        <v>5.0000000000000001E-3</v>
      </c>
      <c r="AE319" s="939">
        <f>ROUND(((Y318+Z318+AA318)*0.13),4)</f>
        <v>1.01E-2</v>
      </c>
      <c r="AF319" s="61"/>
      <c r="AG319" s="61"/>
      <c r="AH319" s="61"/>
      <c r="AI319" s="61"/>
    </row>
    <row r="320" spans="1:35" s="417" customFormat="1" ht="15" customHeight="1" x14ac:dyDescent="0.2">
      <c r="A320" s="562"/>
      <c r="B320" s="414" t="s">
        <v>360</v>
      </c>
      <c r="C320" s="415"/>
      <c r="D320" s="400"/>
      <c r="E320" s="400"/>
      <c r="F320" s="400"/>
      <c r="G320" s="400"/>
      <c r="H320" s="400"/>
      <c r="I320" s="400"/>
      <c r="J320" s="400"/>
      <c r="K320" s="400">
        <v>0.19</v>
      </c>
      <c r="L320" s="400">
        <v>0.23</v>
      </c>
      <c r="M320" s="400"/>
      <c r="N320" s="400"/>
      <c r="O320" s="400"/>
      <c r="P320" s="400"/>
      <c r="Q320" s="400"/>
      <c r="R320" s="482">
        <v>9.7000000000000003E-2</v>
      </c>
      <c r="S320" s="208">
        <f>ROUND((K320*H318+1.3*K320*J318+R320*G318),4)</f>
        <v>69.802499999999995</v>
      </c>
      <c r="T320" s="208">
        <f>ROUND((L320*0.9*H318+1.3*L320*0.9*J318+R320*G318),4)</f>
        <v>75.527299999999997</v>
      </c>
      <c r="U320" s="208">
        <f>ROUND((L320*H318+1.3*L320*J318+R320*G318),4)</f>
        <v>83.272499999999994</v>
      </c>
      <c r="V320" s="208">
        <f>ROUND((K320*I318+1.3*K320*M318+R320*F318),4)</f>
        <v>5.7119999999999997</v>
      </c>
      <c r="W320" s="208">
        <f>ROUND((L320*0.9*I318+1.3*L320*0.9*M318+R320*F318),4)</f>
        <v>6.1710000000000003</v>
      </c>
      <c r="X320" s="208">
        <f>ROUND((L320*I318+1.3*L320*M318+R320*F318),4)</f>
        <v>6.7919999999999998</v>
      </c>
      <c r="Y320" s="404">
        <f>ROUND((O318*S320*E318*N318/1000000),4)</f>
        <v>0</v>
      </c>
      <c r="Z320" s="404">
        <f>ROUND((P318*T320*E318*N318/1000000),4)</f>
        <v>2.3E-3</v>
      </c>
      <c r="AA320" s="404">
        <f>ROUND((Q318*U320*E318*N318/1000000),4)</f>
        <v>5.0000000000000001E-3</v>
      </c>
      <c r="AB320" s="937" t="s">
        <v>56</v>
      </c>
      <c r="AC320" s="938" t="s">
        <v>57</v>
      </c>
      <c r="AD320" s="939">
        <f>ROUND((((W320*D318)/1800)),4)</f>
        <v>3.3999999999999998E-3</v>
      </c>
      <c r="AE320" s="939">
        <f>ROUND(((Y320+Z320+AA320)),5)</f>
        <v>7.3000000000000001E-3</v>
      </c>
      <c r="AF320" s="61"/>
      <c r="AG320" s="61"/>
      <c r="AH320" s="61"/>
      <c r="AI320" s="61"/>
    </row>
    <row r="321" spans="1:35" s="417" customFormat="1" ht="15" customHeight="1" x14ac:dyDescent="0.2">
      <c r="A321" s="562"/>
      <c r="B321" s="414"/>
      <c r="C321" s="414"/>
      <c r="D321" s="400"/>
      <c r="E321" s="400"/>
      <c r="F321" s="400"/>
      <c r="G321" s="400"/>
      <c r="H321" s="400"/>
      <c r="I321" s="400"/>
      <c r="J321" s="400"/>
      <c r="K321" s="400">
        <v>0.43</v>
      </c>
      <c r="L321" s="400">
        <v>0.51</v>
      </c>
      <c r="M321" s="400"/>
      <c r="N321" s="400"/>
      <c r="O321" s="400"/>
      <c r="P321" s="400"/>
      <c r="Q321" s="400"/>
      <c r="R321" s="482">
        <v>0.3</v>
      </c>
      <c r="S321" s="208">
        <f>ROUND((K321*H318+1.3*K321*J318+R321*G318),4)</f>
        <v>162.80250000000001</v>
      </c>
      <c r="T321" s="208">
        <f>ROUND((L321*0.9*H318+1.3*L321*0.9*J318+R321*G318),4)</f>
        <v>172.56829999999999</v>
      </c>
      <c r="U321" s="208">
        <f>ROUND((L321*H318+1.3*L321*J318+R321*G318),4)</f>
        <v>189.74250000000001</v>
      </c>
      <c r="V321" s="208">
        <f>ROUND((K321*I318+1.3*K321*M318+R321*F318),4)</f>
        <v>13.41</v>
      </c>
      <c r="W321" s="208">
        <f>ROUND((L321*0.9*I318+1.3*L321*0.9*M318+R321*F318),4)</f>
        <v>14.193</v>
      </c>
      <c r="X321" s="208">
        <f>ROUND((L321*I318+1.3*M318+R321*F318),4)</f>
        <v>21.94</v>
      </c>
      <c r="Y321" s="404">
        <f>ROUND((O318*S321*E318*N318/1000000),4)</f>
        <v>0</v>
      </c>
      <c r="Z321" s="404">
        <f>ROUND((P318*T321*E318*N318/1000000),4)</f>
        <v>5.1999999999999998E-3</v>
      </c>
      <c r="AA321" s="404">
        <f>ROUND((Q318*U321*E318*N318/1000000),4)</f>
        <v>1.14E-2</v>
      </c>
      <c r="AB321" s="937" t="s">
        <v>177</v>
      </c>
      <c r="AC321" s="938" t="s">
        <v>178</v>
      </c>
      <c r="AD321" s="939">
        <f>ROUND((((W321*D318)/1800)),4)</f>
        <v>7.9000000000000008E-3</v>
      </c>
      <c r="AE321" s="939">
        <f>ROUND(((Y321+Z321+AA321)),4)</f>
        <v>1.66E-2</v>
      </c>
      <c r="AF321" s="61"/>
      <c r="AG321" s="61"/>
      <c r="AH321" s="61"/>
      <c r="AI321" s="61"/>
    </row>
    <row r="322" spans="1:35" s="417" customFormat="1" ht="15" customHeight="1" x14ac:dyDescent="0.2">
      <c r="A322" s="562"/>
      <c r="B322" s="414"/>
      <c r="C322" s="414"/>
      <c r="D322" s="400"/>
      <c r="E322" s="400"/>
      <c r="F322" s="400"/>
      <c r="G322" s="400"/>
      <c r="H322" s="400"/>
      <c r="I322" s="400"/>
      <c r="J322" s="400"/>
      <c r="K322" s="400">
        <v>0.27</v>
      </c>
      <c r="L322" s="400">
        <v>0.41</v>
      </c>
      <c r="M322" s="400"/>
      <c r="N322" s="400"/>
      <c r="O322" s="400"/>
      <c r="P322" s="400"/>
      <c r="Q322" s="400"/>
      <c r="R322" s="482">
        <v>0.06</v>
      </c>
      <c r="S322" s="208">
        <f>ROUND((K322*H318+1.3*K322*J318+R322*G318),4)</f>
        <v>94.522499999999994</v>
      </c>
      <c r="T322" s="208">
        <f>ROUND((L322*0.9*H318+1.3*L322*0.9*J318+R322*G318),4)</f>
        <v>127.8608</v>
      </c>
      <c r="U322" s="208">
        <f>ROUND((L322*H318+1.3*L322*J318+R322*G318),4)</f>
        <v>141.66749999999999</v>
      </c>
      <c r="V322" s="208">
        <f>ROUND((K322*I318+1.3*K322*M318+R322*F318),4)</f>
        <v>7.65</v>
      </c>
      <c r="W322" s="208">
        <f>ROUND((L322*0.9*I318+1.3*L322*0.9*M318+R322*F318),4)</f>
        <v>10.323</v>
      </c>
      <c r="X322" s="208">
        <f>ROUND((L322*I318+1.3*L322*M318+R322*F318),4)</f>
        <v>11.43</v>
      </c>
      <c r="Y322" s="404">
        <f>ROUND((O318*S322*E318*N318/1000000),4)</f>
        <v>0</v>
      </c>
      <c r="Z322" s="404">
        <f>ROUND((P318*T322*E318*N318/1000000),4)</f>
        <v>3.8E-3</v>
      </c>
      <c r="AA322" s="404">
        <f>ROUND((Q318*U322*E318*N318/1000000),4)</f>
        <v>8.5000000000000006E-3</v>
      </c>
      <c r="AB322" s="937" t="s">
        <v>61</v>
      </c>
      <c r="AC322" s="938" t="s">
        <v>62</v>
      </c>
      <c r="AD322" s="939">
        <f>ROUND((((W322*D318)/1800)),4)</f>
        <v>5.7000000000000002E-3</v>
      </c>
      <c r="AE322" s="939">
        <f>ROUND(((Y322+Z322+AA322)),4)</f>
        <v>1.23E-2</v>
      </c>
      <c r="AF322" s="61"/>
      <c r="AG322" s="61"/>
      <c r="AH322" s="61"/>
      <c r="AI322" s="61"/>
    </row>
    <row r="323" spans="1:35" s="417" customFormat="1" ht="15" customHeight="1" x14ac:dyDescent="0.2">
      <c r="A323" s="513"/>
      <c r="B323" s="416"/>
      <c r="C323" s="416"/>
      <c r="D323" s="401"/>
      <c r="E323" s="401"/>
      <c r="F323" s="401"/>
      <c r="G323" s="401"/>
      <c r="H323" s="401"/>
      <c r="I323" s="401"/>
      <c r="J323" s="401"/>
      <c r="K323" s="401">
        <v>1.29</v>
      </c>
      <c r="L323" s="401">
        <v>1.57</v>
      </c>
      <c r="M323" s="401"/>
      <c r="N323" s="401"/>
      <c r="O323" s="401"/>
      <c r="P323" s="401"/>
      <c r="Q323" s="401"/>
      <c r="R323" s="482">
        <v>2.4</v>
      </c>
      <c r="S323" s="175">
        <f>ROUND((K323*H318+1.3*K323*J318+R323*G318),4)</f>
        <v>578.40750000000003</v>
      </c>
      <c r="T323" s="175">
        <f>ROUND((L323*0.9*H318+1.3*L323*0.9*J318+R323*G318),4)</f>
        <v>619.82780000000002</v>
      </c>
      <c r="U323" s="175">
        <f>ROUND((L323*H318+1.3*L323*J318+R323*G318),4)</f>
        <v>672.69749999999999</v>
      </c>
      <c r="V323" s="175">
        <f>ROUND((K323*I318+1.3*K323*M318+R323*F318),4)</f>
        <v>49.23</v>
      </c>
      <c r="W323" s="175">
        <f>ROUND((L323*0.9*I318+1.3*L323*0.9*M318+R323*F318),4)</f>
        <v>52.551000000000002</v>
      </c>
      <c r="X323" s="175">
        <f>ROUND((L323*I318+1.3*L323*M318+R323*F318),4)</f>
        <v>56.79</v>
      </c>
      <c r="Y323" s="489">
        <f>ROUND((O318*S323*E318*N318/1000000),4)</f>
        <v>0</v>
      </c>
      <c r="Z323" s="489">
        <f>ROUND((P318*T323*E318*N318/1000000),4)</f>
        <v>1.8599999999999998E-2</v>
      </c>
      <c r="AA323" s="489">
        <f>ROUND((Q318*U323*E318*N318/1000000),4)</f>
        <v>4.0399999999999998E-2</v>
      </c>
      <c r="AB323" s="937" t="s">
        <v>65</v>
      </c>
      <c r="AC323" s="938" t="s">
        <v>66</v>
      </c>
      <c r="AD323" s="939">
        <f>ROUND((((W323*D318)/1800)),4)</f>
        <v>2.92E-2</v>
      </c>
      <c r="AE323" s="939">
        <f>ROUND(((Y323+Z323+AA323)),4)</f>
        <v>5.8999999999999997E-2</v>
      </c>
      <c r="AF323" s="61">
        <f>SUM(AD318:AD323)</f>
        <v>8.2100000000000006E-2</v>
      </c>
      <c r="AG323" s="61">
        <f>SUM(AE318:AE323)</f>
        <v>0.16720000000000002</v>
      </c>
      <c r="AH323" s="61"/>
      <c r="AI323" s="61"/>
    </row>
    <row r="324" spans="1:35" s="417" customFormat="1" ht="15" customHeight="1" x14ac:dyDescent="0.2">
      <c r="A324" s="1284" t="s">
        <v>717</v>
      </c>
      <c r="B324" s="1437"/>
      <c r="C324" s="1438"/>
      <c r="D324" s="1438"/>
      <c r="E324" s="1438"/>
      <c r="F324" s="1438"/>
      <c r="G324" s="1438"/>
      <c r="H324" s="1438"/>
      <c r="I324" s="1438"/>
      <c r="J324" s="1438"/>
      <c r="K324" s="1438"/>
      <c r="L324" s="1438"/>
      <c r="M324" s="1438"/>
      <c r="N324" s="1438"/>
      <c r="O324" s="1438"/>
      <c r="P324" s="1438"/>
      <c r="Q324" s="1438"/>
      <c r="R324" s="1438"/>
      <c r="S324" s="1438"/>
      <c r="T324" s="1438"/>
      <c r="U324" s="1438"/>
      <c r="V324" s="1438"/>
      <c r="W324" s="1438"/>
      <c r="X324" s="1438"/>
      <c r="Y324" s="1438"/>
      <c r="Z324" s="1438"/>
      <c r="AA324" s="1438"/>
      <c r="AB324" s="1438"/>
      <c r="AC324" s="1438"/>
      <c r="AD324" s="1438"/>
      <c r="AE324" s="1439"/>
      <c r="AF324" s="61"/>
      <c r="AG324" s="61"/>
      <c r="AH324" s="61"/>
      <c r="AI324" s="61"/>
    </row>
    <row r="325" spans="1:35" s="417" customFormat="1" ht="15" customHeight="1" x14ac:dyDescent="0.2">
      <c r="A325" s="560" t="s">
        <v>1022</v>
      </c>
      <c r="B325" s="486" t="s">
        <v>343</v>
      </c>
      <c r="C325" s="413">
        <v>4</v>
      </c>
      <c r="D325" s="381">
        <v>1</v>
      </c>
      <c r="E325" s="381">
        <v>1</v>
      </c>
      <c r="F325" s="381">
        <v>6</v>
      </c>
      <c r="G325" s="381">
        <v>60</v>
      </c>
      <c r="H325" s="381">
        <f>(8-1-0.75*2)*60*E325-J325-8*0.12*60</f>
        <v>57.900000000000006</v>
      </c>
      <c r="I325" s="381">
        <v>14</v>
      </c>
      <c r="J325" s="381">
        <f>(8-1-0.75*2)*0.65*60*E325</f>
        <v>214.5</v>
      </c>
      <c r="K325" s="381">
        <v>2.4700000000000002</v>
      </c>
      <c r="L325" s="381">
        <v>2.4700000000000002</v>
      </c>
      <c r="M325" s="381">
        <v>10</v>
      </c>
      <c r="N325" s="381">
        <f>D325/E325</f>
        <v>1</v>
      </c>
      <c r="O325" s="485">
        <v>0</v>
      </c>
      <c r="P325" s="485">
        <v>30</v>
      </c>
      <c r="Q325" s="483">
        <v>60</v>
      </c>
      <c r="R325" s="381">
        <v>0.48</v>
      </c>
      <c r="S325" s="208">
        <f>ROUND((K325*H325+1.3*K325*J325+R325*G325),4)</f>
        <v>860.57249999999999</v>
      </c>
      <c r="T325" s="208">
        <f>ROUND((L325*H325+1.3*L325*J325+R325*G325),4)</f>
        <v>860.57249999999999</v>
      </c>
      <c r="U325" s="208">
        <f>ROUND((L325*H325+1.3*L325*J325+R325*G325),4)</f>
        <v>860.57249999999999</v>
      </c>
      <c r="V325" s="208">
        <f>ROUND((K325*I325+1.3*K325*M325+R325*F325),4)</f>
        <v>69.569999999999993</v>
      </c>
      <c r="W325" s="208">
        <f>ROUND((L325*I325+1.3*L325*M325+R325*F325),4)</f>
        <v>69.569999999999993</v>
      </c>
      <c r="X325" s="208">
        <f>ROUND((L325*I325+1.3*L325*M325+R325*F325),4)</f>
        <v>69.569999999999993</v>
      </c>
      <c r="Y325" s="404">
        <f>ROUND((O325*S325*E325*N325/1000000),4)</f>
        <v>0</v>
      </c>
      <c r="Z325" s="404">
        <f>ROUND((P325*T325*E325*N325/1000000),4)</f>
        <v>2.58E-2</v>
      </c>
      <c r="AA325" s="404">
        <f>ROUND((Q325*U325*E325*N325/1000000),4)</f>
        <v>5.16E-2</v>
      </c>
      <c r="AB325" s="937" t="s">
        <v>48</v>
      </c>
      <c r="AC325" s="938" t="s">
        <v>49</v>
      </c>
      <c r="AD325" s="939">
        <f>ROUND((((W325*D325)/1800)*0.8),4)</f>
        <v>3.09E-2</v>
      </c>
      <c r="AE325" s="939">
        <f>ROUND(((Y325+Z325+AA325)*0.8),4)</f>
        <v>6.1899999999999997E-2</v>
      </c>
      <c r="AF325" s="61"/>
      <c r="AG325" s="61"/>
      <c r="AH325" s="61"/>
      <c r="AI325" s="61"/>
    </row>
    <row r="326" spans="1:35" s="417" customFormat="1" ht="15" customHeight="1" x14ac:dyDescent="0.2">
      <c r="A326" s="561" t="s">
        <v>166</v>
      </c>
      <c r="B326" s="487" t="s">
        <v>359</v>
      </c>
      <c r="C326" s="414"/>
      <c r="D326" s="400"/>
      <c r="E326" s="400"/>
      <c r="F326" s="400"/>
      <c r="G326" s="400"/>
      <c r="H326" s="400"/>
      <c r="I326" s="400"/>
      <c r="J326" s="400"/>
      <c r="K326" s="400"/>
      <c r="L326" s="400"/>
      <c r="M326" s="400"/>
      <c r="N326" s="400"/>
      <c r="O326" s="400"/>
      <c r="P326" s="400"/>
      <c r="Q326" s="400"/>
      <c r="R326" s="488"/>
      <c r="S326" s="407"/>
      <c r="T326" s="407"/>
      <c r="U326" s="407"/>
      <c r="V326" s="407"/>
      <c r="W326" s="407"/>
      <c r="X326" s="407"/>
      <c r="Y326" s="407"/>
      <c r="Z326" s="407"/>
      <c r="AA326" s="407"/>
      <c r="AB326" s="937" t="s">
        <v>51</v>
      </c>
      <c r="AC326" s="938" t="s">
        <v>52</v>
      </c>
      <c r="AD326" s="939">
        <f>ROUND((((W325*D325)/1800)*0.13),4)</f>
        <v>5.0000000000000001E-3</v>
      </c>
      <c r="AE326" s="939">
        <f>ROUND(((Y325+Z325+AA325)*0.13),4)</f>
        <v>1.01E-2</v>
      </c>
      <c r="AF326" s="61"/>
      <c r="AG326" s="61"/>
      <c r="AH326" s="61"/>
      <c r="AI326" s="61"/>
    </row>
    <row r="327" spans="1:35" s="417" customFormat="1" ht="15" customHeight="1" x14ac:dyDescent="0.2">
      <c r="A327" s="562"/>
      <c r="B327" s="414" t="s">
        <v>360</v>
      </c>
      <c r="C327" s="415"/>
      <c r="D327" s="400"/>
      <c r="E327" s="400"/>
      <c r="F327" s="400"/>
      <c r="G327" s="400"/>
      <c r="H327" s="400"/>
      <c r="I327" s="400"/>
      <c r="J327" s="400"/>
      <c r="K327" s="400">
        <v>0.19</v>
      </c>
      <c r="L327" s="400">
        <v>0.23</v>
      </c>
      <c r="M327" s="400"/>
      <c r="N327" s="400"/>
      <c r="O327" s="400"/>
      <c r="P327" s="400"/>
      <c r="Q327" s="400"/>
      <c r="R327" s="482">
        <v>9.7000000000000003E-2</v>
      </c>
      <c r="S327" s="208">
        <f>ROUND((K327*H325+1.3*K327*J325+R327*G325),4)</f>
        <v>69.802499999999995</v>
      </c>
      <c r="T327" s="208">
        <f>ROUND((L327*0.9*H325+1.3*L327*0.9*J325+R327*G325),4)</f>
        <v>75.527299999999997</v>
      </c>
      <c r="U327" s="208">
        <f>ROUND((L327*H325+1.3*L327*J325+R327*G325),4)</f>
        <v>83.272499999999994</v>
      </c>
      <c r="V327" s="208">
        <f>ROUND((K327*I325+1.3*K327*M325+R327*F325),4)</f>
        <v>5.7119999999999997</v>
      </c>
      <c r="W327" s="208">
        <f>ROUND((L327*0.9*I325+1.3*L327*0.9*M325+R327*F325),4)</f>
        <v>6.1710000000000003</v>
      </c>
      <c r="X327" s="208">
        <f>ROUND((L327*I325+1.3*L327*M325+R327*F325),4)</f>
        <v>6.7919999999999998</v>
      </c>
      <c r="Y327" s="404">
        <f>ROUND((O325*S327*E325*N325/1000000),4)</f>
        <v>0</v>
      </c>
      <c r="Z327" s="404">
        <f>ROUND((P325*T327*E325*N325/1000000),4)</f>
        <v>2.3E-3</v>
      </c>
      <c r="AA327" s="404">
        <f>ROUND((Q325*U327*E325*N325/1000000),4)</f>
        <v>5.0000000000000001E-3</v>
      </c>
      <c r="AB327" s="937" t="s">
        <v>56</v>
      </c>
      <c r="AC327" s="938" t="s">
        <v>57</v>
      </c>
      <c r="AD327" s="939">
        <f>ROUND((((W327*D325)/1800)),4)</f>
        <v>3.3999999999999998E-3</v>
      </c>
      <c r="AE327" s="939">
        <f>ROUND(((Y327+Z327+AA327)),5)</f>
        <v>7.3000000000000001E-3</v>
      </c>
      <c r="AF327" s="61"/>
      <c r="AG327" s="61"/>
      <c r="AH327" s="61"/>
      <c r="AI327" s="61"/>
    </row>
    <row r="328" spans="1:35" s="417" customFormat="1" ht="15" customHeight="1" x14ac:dyDescent="0.2">
      <c r="A328" s="562"/>
      <c r="B328" s="414"/>
      <c r="C328" s="414"/>
      <c r="D328" s="400"/>
      <c r="E328" s="400"/>
      <c r="F328" s="400"/>
      <c r="G328" s="400"/>
      <c r="H328" s="400"/>
      <c r="I328" s="400"/>
      <c r="J328" s="400"/>
      <c r="K328" s="400">
        <v>0.43</v>
      </c>
      <c r="L328" s="400">
        <v>0.51</v>
      </c>
      <c r="M328" s="400"/>
      <c r="N328" s="400"/>
      <c r="O328" s="400"/>
      <c r="P328" s="400"/>
      <c r="Q328" s="400"/>
      <c r="R328" s="482">
        <v>0.3</v>
      </c>
      <c r="S328" s="208">
        <f>ROUND((K328*H325+1.3*K328*J325+R328*G325),4)</f>
        <v>162.80250000000001</v>
      </c>
      <c r="T328" s="208">
        <f>ROUND((L328*0.9*H325+1.3*L328*0.9*J325+R328*G325),4)</f>
        <v>172.56829999999999</v>
      </c>
      <c r="U328" s="208">
        <f>ROUND((L328*H325+1.3*L328*J325+R328*G325),4)</f>
        <v>189.74250000000001</v>
      </c>
      <c r="V328" s="208">
        <f>ROUND((K328*I325+1.3*K328*M325+R328*F325),4)</f>
        <v>13.41</v>
      </c>
      <c r="W328" s="208">
        <f>ROUND((L328*0.9*I325+1.3*L328*0.9*M325+R328*F325),4)</f>
        <v>14.193</v>
      </c>
      <c r="X328" s="208">
        <f>ROUND((L328*I325+1.3*M325+R328*F325),4)</f>
        <v>21.94</v>
      </c>
      <c r="Y328" s="404">
        <f>ROUND((O325*S328*E325*N325/1000000),4)</f>
        <v>0</v>
      </c>
      <c r="Z328" s="404">
        <f>ROUND((P325*T328*E325*N325/1000000),4)</f>
        <v>5.1999999999999998E-3</v>
      </c>
      <c r="AA328" s="404">
        <f>ROUND((Q325*U328*E325*N325/1000000),4)</f>
        <v>1.14E-2</v>
      </c>
      <c r="AB328" s="937" t="s">
        <v>177</v>
      </c>
      <c r="AC328" s="938" t="s">
        <v>178</v>
      </c>
      <c r="AD328" s="939">
        <f>ROUND((((W328*D325)/1800)),4)</f>
        <v>7.9000000000000008E-3</v>
      </c>
      <c r="AE328" s="939">
        <f>ROUND(((Y328+Z328+AA328)),4)</f>
        <v>1.66E-2</v>
      </c>
      <c r="AF328" s="61"/>
      <c r="AG328" s="61"/>
      <c r="AH328" s="61"/>
      <c r="AI328" s="61"/>
    </row>
    <row r="329" spans="1:35" s="417" customFormat="1" ht="15" customHeight="1" x14ac:dyDescent="0.2">
      <c r="A329" s="562"/>
      <c r="B329" s="414"/>
      <c r="C329" s="414"/>
      <c r="D329" s="400"/>
      <c r="E329" s="400"/>
      <c r="F329" s="400"/>
      <c r="G329" s="400"/>
      <c r="H329" s="400"/>
      <c r="I329" s="400"/>
      <c r="J329" s="400"/>
      <c r="K329" s="400">
        <v>0.27</v>
      </c>
      <c r="L329" s="400">
        <v>0.41</v>
      </c>
      <c r="M329" s="400"/>
      <c r="N329" s="400"/>
      <c r="O329" s="400"/>
      <c r="P329" s="400"/>
      <c r="Q329" s="400"/>
      <c r="R329" s="482">
        <v>0.06</v>
      </c>
      <c r="S329" s="208">
        <f>ROUND((K329*H325+1.3*K329*J325+R329*G325),4)</f>
        <v>94.522499999999994</v>
      </c>
      <c r="T329" s="208">
        <f>ROUND((L329*0.9*H325+1.3*L329*0.9*J325+R329*G325),4)</f>
        <v>127.8608</v>
      </c>
      <c r="U329" s="208">
        <f>ROUND((L329*H325+1.3*L329*J325+R329*G325),4)</f>
        <v>141.66749999999999</v>
      </c>
      <c r="V329" s="208">
        <f>ROUND((K329*I325+1.3*K329*M325+R329*F325),4)</f>
        <v>7.65</v>
      </c>
      <c r="W329" s="208">
        <f>ROUND((L329*0.9*I325+1.3*L329*0.9*M325+R329*F325),4)</f>
        <v>10.323</v>
      </c>
      <c r="X329" s="208">
        <f>ROUND((L329*I325+1.3*L329*M325+R329*F325),4)</f>
        <v>11.43</v>
      </c>
      <c r="Y329" s="404">
        <f>ROUND((O325*S329*E325*N325/1000000),4)</f>
        <v>0</v>
      </c>
      <c r="Z329" s="404">
        <f>ROUND((P325*T329*E325*N325/1000000),4)</f>
        <v>3.8E-3</v>
      </c>
      <c r="AA329" s="404">
        <f>ROUND((Q325*U329*E325*N325/1000000),4)</f>
        <v>8.5000000000000006E-3</v>
      </c>
      <c r="AB329" s="937" t="s">
        <v>61</v>
      </c>
      <c r="AC329" s="938" t="s">
        <v>62</v>
      </c>
      <c r="AD329" s="939">
        <f>ROUND((((W329*D325)/1800)),4)</f>
        <v>5.7000000000000002E-3</v>
      </c>
      <c r="AE329" s="939">
        <f>ROUND(((Y329+Z329+AA329)),4)</f>
        <v>1.23E-2</v>
      </c>
      <c r="AF329" s="61"/>
      <c r="AG329" s="61"/>
      <c r="AH329" s="61"/>
      <c r="AI329" s="61"/>
    </row>
    <row r="330" spans="1:35" s="417" customFormat="1" ht="15" customHeight="1" x14ac:dyDescent="0.2">
      <c r="A330" s="513"/>
      <c r="B330" s="416"/>
      <c r="C330" s="416"/>
      <c r="D330" s="401"/>
      <c r="E330" s="401"/>
      <c r="F330" s="401"/>
      <c r="G330" s="401"/>
      <c r="H330" s="401"/>
      <c r="I330" s="401"/>
      <c r="J330" s="401"/>
      <c r="K330" s="401">
        <v>1.29</v>
      </c>
      <c r="L330" s="401">
        <v>1.57</v>
      </c>
      <c r="M330" s="401"/>
      <c r="N330" s="401"/>
      <c r="O330" s="401"/>
      <c r="P330" s="401"/>
      <c r="Q330" s="401"/>
      <c r="R330" s="482">
        <v>2.4</v>
      </c>
      <c r="S330" s="175">
        <f>ROUND((K330*H325+1.3*K330*J325+R330*G325),4)</f>
        <v>578.40750000000003</v>
      </c>
      <c r="T330" s="175">
        <f>ROUND((L330*0.9*H325+1.3*L330*0.9*J325+R330*G325),4)</f>
        <v>619.82780000000002</v>
      </c>
      <c r="U330" s="175">
        <f>ROUND((L330*H325+1.3*L330*J325+R330*G325),4)</f>
        <v>672.69749999999999</v>
      </c>
      <c r="V330" s="175">
        <f>ROUND((K330*I325+1.3*K330*M325+R330*F325),4)</f>
        <v>49.23</v>
      </c>
      <c r="W330" s="175">
        <f>ROUND((L330*0.9*I325+1.3*L330*0.9*M325+R330*F325),4)</f>
        <v>52.551000000000002</v>
      </c>
      <c r="X330" s="175">
        <f>ROUND((L330*I325+1.3*L330*M325+R330*F325),4)</f>
        <v>56.79</v>
      </c>
      <c r="Y330" s="489">
        <f>ROUND((O325*S330*E325*N325/1000000),4)</f>
        <v>0</v>
      </c>
      <c r="Z330" s="489">
        <f>ROUND((P325*T330*E325*N325/1000000),4)</f>
        <v>1.8599999999999998E-2</v>
      </c>
      <c r="AA330" s="489">
        <f>ROUND((Q325*U330*E325*N325/1000000),4)</f>
        <v>4.0399999999999998E-2</v>
      </c>
      <c r="AB330" s="937" t="s">
        <v>65</v>
      </c>
      <c r="AC330" s="938" t="s">
        <v>66</v>
      </c>
      <c r="AD330" s="939">
        <f>ROUND((((W330*D325)/1800)),4)</f>
        <v>2.92E-2</v>
      </c>
      <c r="AE330" s="939">
        <f>ROUND(((Y330+Z330+AA330)),4)</f>
        <v>5.8999999999999997E-2</v>
      </c>
      <c r="AF330" s="61">
        <f>SUM(AD325:AD330)</f>
        <v>8.2100000000000006E-2</v>
      </c>
      <c r="AG330" s="61">
        <f>SUM(AE325:AE330)</f>
        <v>0.16720000000000002</v>
      </c>
      <c r="AH330" s="61"/>
      <c r="AI330" s="61"/>
    </row>
    <row r="331" spans="1:35" s="417" customFormat="1" ht="15" customHeight="1" x14ac:dyDescent="0.2">
      <c r="A331" s="1284" t="s">
        <v>1531</v>
      </c>
      <c r="B331" s="1437"/>
      <c r="C331" s="1438"/>
      <c r="D331" s="1438"/>
      <c r="E331" s="1438"/>
      <c r="F331" s="1438"/>
      <c r="G331" s="1438"/>
      <c r="H331" s="1438"/>
      <c r="I331" s="1438"/>
      <c r="J331" s="1438"/>
      <c r="K331" s="1438"/>
      <c r="L331" s="1438"/>
      <c r="M331" s="1438"/>
      <c r="N331" s="1438"/>
      <c r="O331" s="1438"/>
      <c r="P331" s="1438"/>
      <c r="Q331" s="1438"/>
      <c r="R331" s="1438"/>
      <c r="S331" s="1438"/>
      <c r="T331" s="1438"/>
      <c r="U331" s="1438"/>
      <c r="V331" s="1438"/>
      <c r="W331" s="1438"/>
      <c r="X331" s="1438"/>
      <c r="Y331" s="1438"/>
      <c r="Z331" s="1438"/>
      <c r="AA331" s="1438"/>
      <c r="AB331" s="1438"/>
      <c r="AC331" s="1438"/>
      <c r="AD331" s="1438"/>
      <c r="AE331" s="1439"/>
      <c r="AF331" s="61"/>
      <c r="AG331" s="61"/>
      <c r="AH331" s="61"/>
      <c r="AI331" s="61"/>
    </row>
    <row r="332" spans="1:35" s="417" customFormat="1" ht="15" customHeight="1" x14ac:dyDescent="0.2">
      <c r="A332" s="560" t="s">
        <v>767</v>
      </c>
      <c r="B332" s="402" t="s">
        <v>404</v>
      </c>
      <c r="C332" s="381">
        <v>6</v>
      </c>
      <c r="D332" s="381">
        <v>1</v>
      </c>
      <c r="E332" s="381">
        <v>1</v>
      </c>
      <c r="F332" s="381">
        <v>6</v>
      </c>
      <c r="G332" s="381">
        <v>60</v>
      </c>
      <c r="H332" s="381">
        <f>(8-1-0.75*2)*60*E332-J332-8*0.12*60</f>
        <v>57.900000000000006</v>
      </c>
      <c r="I332" s="381">
        <v>14</v>
      </c>
      <c r="J332" s="381">
        <f>(8-1-0.75*2)*0.65*60*E332</f>
        <v>214.5</v>
      </c>
      <c r="K332" s="208">
        <v>6.47</v>
      </c>
      <c r="L332" s="208">
        <v>6.47</v>
      </c>
      <c r="M332" s="381">
        <v>10</v>
      </c>
      <c r="N332" s="381">
        <f>D332/E332</f>
        <v>1</v>
      </c>
      <c r="O332" s="485">
        <v>0</v>
      </c>
      <c r="P332" s="485">
        <v>30</v>
      </c>
      <c r="Q332" s="483">
        <v>60</v>
      </c>
      <c r="R332" s="403">
        <v>1.27</v>
      </c>
      <c r="S332" s="208">
        <f>ROUND((K332*H332+1.3*K332*J332+R332*G332),4)</f>
        <v>2254.9724999999999</v>
      </c>
      <c r="T332" s="208">
        <f>ROUND((L332*H332+1.3*L332*J332+R332*G332),4)</f>
        <v>2254.9724999999999</v>
      </c>
      <c r="U332" s="208">
        <f>ROUND((L332*H332+1.3*L332*J332+R332*G332),4)</f>
        <v>2254.9724999999999</v>
      </c>
      <c r="V332" s="208">
        <f>ROUND((K332*I332+1.3*K332*M332+R332*F332),4)</f>
        <v>182.31</v>
      </c>
      <c r="W332" s="208">
        <f>ROUND((L332*I332+1.3*L332*M332+R332*F332),4)</f>
        <v>182.31</v>
      </c>
      <c r="X332" s="208">
        <f>ROUND((L332*I332+1.3*L332*M332+R332*F332),4)</f>
        <v>182.31</v>
      </c>
      <c r="Y332" s="404">
        <f>ROUND((O332*S332*E332*N332/1000000),4)</f>
        <v>0</v>
      </c>
      <c r="Z332" s="404">
        <f>ROUND((P332*T332*E332*N332/1000000),4)</f>
        <v>6.7599999999999993E-2</v>
      </c>
      <c r="AA332" s="404">
        <f>ROUND((Q332*U332*E332*N332/1000000),4)</f>
        <v>0.1353</v>
      </c>
      <c r="AB332" s="937" t="s">
        <v>48</v>
      </c>
      <c r="AC332" s="938" t="s">
        <v>49</v>
      </c>
      <c r="AD332" s="939">
        <f>ROUND((((W332*D332)/1800)*0.8),4)</f>
        <v>8.1000000000000003E-2</v>
      </c>
      <c r="AE332" s="939">
        <f>ROUND(((Y332+Z332+AA332)*0.8),4)</f>
        <v>0.1623</v>
      </c>
      <c r="AF332" s="61"/>
      <c r="AG332" s="61"/>
      <c r="AH332" s="61"/>
      <c r="AI332" s="61"/>
    </row>
    <row r="333" spans="1:35" s="417" customFormat="1" ht="15" customHeight="1" x14ac:dyDescent="0.2">
      <c r="A333" s="561" t="s">
        <v>166</v>
      </c>
      <c r="B333" s="405" t="s">
        <v>405</v>
      </c>
      <c r="C333" s="400"/>
      <c r="D333" s="400"/>
      <c r="E333" s="400"/>
      <c r="F333" s="400"/>
      <c r="G333" s="400"/>
      <c r="H333" s="400"/>
      <c r="I333" s="400"/>
      <c r="J333" s="400"/>
      <c r="K333" s="401"/>
      <c r="L333" s="401"/>
      <c r="M333" s="400"/>
      <c r="N333" s="400"/>
      <c r="O333" s="400"/>
      <c r="P333" s="400"/>
      <c r="Q333" s="400"/>
      <c r="R333" s="406"/>
      <c r="S333" s="407"/>
      <c r="T333" s="407"/>
      <c r="U333" s="407"/>
      <c r="V333" s="407"/>
      <c r="W333" s="407"/>
      <c r="X333" s="407"/>
      <c r="Y333" s="407"/>
      <c r="Z333" s="407"/>
      <c r="AA333" s="407"/>
      <c r="AB333" s="937" t="s">
        <v>51</v>
      </c>
      <c r="AC333" s="938" t="s">
        <v>52</v>
      </c>
      <c r="AD333" s="939">
        <f>ROUND((((W332*D332)/1800)*0.13),4)</f>
        <v>1.32E-2</v>
      </c>
      <c r="AE333" s="939">
        <f>ROUND(((Y332+Z332+AA332)*0.13),4)</f>
        <v>2.64E-2</v>
      </c>
      <c r="AF333" s="61"/>
      <c r="AG333" s="61"/>
      <c r="AH333" s="61"/>
      <c r="AI333" s="61"/>
    </row>
    <row r="334" spans="1:35" s="417" customFormat="1" ht="15" customHeight="1" x14ac:dyDescent="0.2">
      <c r="A334" s="559"/>
      <c r="B334" s="400" t="s">
        <v>341</v>
      </c>
      <c r="C334" s="408"/>
      <c r="D334" s="400"/>
      <c r="E334" s="400"/>
      <c r="F334" s="400"/>
      <c r="G334" s="400"/>
      <c r="H334" s="400"/>
      <c r="I334" s="400"/>
      <c r="J334" s="400"/>
      <c r="K334" s="409">
        <v>0.51</v>
      </c>
      <c r="L334" s="409">
        <v>0.63</v>
      </c>
      <c r="M334" s="400"/>
      <c r="N334" s="400"/>
      <c r="O334" s="400"/>
      <c r="P334" s="400"/>
      <c r="Q334" s="400"/>
      <c r="R334" s="410">
        <v>0.25</v>
      </c>
      <c r="S334" s="208">
        <f>ROUND((K334*H332+1.3*K334*J332+R334*G332),4)</f>
        <v>186.74250000000001</v>
      </c>
      <c r="T334" s="208">
        <f>ROUND((L334*0.9*H332+1.3*L334*0.9*J332+R334*G332),4)</f>
        <v>205.93729999999999</v>
      </c>
      <c r="U334" s="208">
        <f>ROUND((L334*H332+1.3*L334*J332+R334*G332),4)</f>
        <v>227.1525</v>
      </c>
      <c r="V334" s="208">
        <f>ROUND((K334*I332+1.3*K334*M332+R334*F332),4)</f>
        <v>15.27</v>
      </c>
      <c r="W334" s="208">
        <f>ROUND((L334*0.9*I332+1.3*L334*0.9*M332+R334*F332),4)</f>
        <v>16.809000000000001</v>
      </c>
      <c r="X334" s="208">
        <f>ROUND((L334*I332+1.3*L334*M332+R334*F332),4)</f>
        <v>18.510000000000002</v>
      </c>
      <c r="Y334" s="404">
        <f>ROUND((O332*S334*E332*N332/1000000),4)</f>
        <v>0</v>
      </c>
      <c r="Z334" s="404">
        <f>ROUND((P332*T334*E332*N332/1000000),4)</f>
        <v>6.1999999999999998E-3</v>
      </c>
      <c r="AA334" s="404">
        <f>ROUND((Q332*U334*E332*N332/1000000),4)</f>
        <v>1.3599999999999999E-2</v>
      </c>
      <c r="AB334" s="937" t="s">
        <v>56</v>
      </c>
      <c r="AC334" s="938" t="s">
        <v>57</v>
      </c>
      <c r="AD334" s="939">
        <f>ROUND((((W334*D332)/1800)),4)</f>
        <v>9.2999999999999992E-3</v>
      </c>
      <c r="AE334" s="939">
        <f>ROUND(((Y334+Z334+AA334)),5)</f>
        <v>1.9800000000000002E-2</v>
      </c>
      <c r="AF334" s="61"/>
      <c r="AG334" s="61"/>
      <c r="AH334" s="61"/>
      <c r="AI334" s="61"/>
    </row>
    <row r="335" spans="1:35" s="417" customFormat="1" ht="15" customHeight="1" x14ac:dyDescent="0.2">
      <c r="A335" s="559"/>
      <c r="B335" s="411"/>
      <c r="C335" s="400"/>
      <c r="D335" s="400"/>
      <c r="E335" s="400"/>
      <c r="F335" s="400"/>
      <c r="G335" s="400"/>
      <c r="H335" s="400"/>
      <c r="I335" s="400"/>
      <c r="J335" s="400"/>
      <c r="K335" s="409">
        <v>1.1399999999999999</v>
      </c>
      <c r="L335" s="409">
        <v>1.37</v>
      </c>
      <c r="M335" s="400"/>
      <c r="N335" s="400"/>
      <c r="O335" s="400"/>
      <c r="P335" s="400"/>
      <c r="Q335" s="400"/>
      <c r="R335" s="412">
        <v>0.79</v>
      </c>
      <c r="S335" s="208">
        <f>ROUND((K335*H332+1.3*K335*J332+R335*G332),4)</f>
        <v>431.29500000000002</v>
      </c>
      <c r="T335" s="208">
        <f>ROUND((L335*0.9*H332+1.3*L335*0.9*J332+R335*G332),4)</f>
        <v>462.61279999999999</v>
      </c>
      <c r="U335" s="208">
        <f>ROUND((L335*H332+1.3*L335*J332+R335*G332),4)</f>
        <v>508.7475</v>
      </c>
      <c r="V335" s="208">
        <f>ROUND((K335*I332+1.3*K335*M332+R335*F332),4)</f>
        <v>35.520000000000003</v>
      </c>
      <c r="W335" s="208">
        <f>ROUND((L335*0.9*I332+1.3*L335*0.9*M332+R335*F332),4)</f>
        <v>38.030999999999999</v>
      </c>
      <c r="X335" s="208">
        <f>ROUND((L335*I332+1.3*M332+R335*F332),4)</f>
        <v>36.92</v>
      </c>
      <c r="Y335" s="404">
        <f>ROUND((O332*S335*E332*N332/1000000),4)</f>
        <v>0</v>
      </c>
      <c r="Z335" s="404">
        <f>ROUND((P332*T335*E332*N332/1000000),4)</f>
        <v>1.3899999999999999E-2</v>
      </c>
      <c r="AA335" s="404">
        <f>ROUND((Q332*U335*E332*N332/1000000),4)</f>
        <v>3.0499999999999999E-2</v>
      </c>
      <c r="AB335" s="937" t="s">
        <v>177</v>
      </c>
      <c r="AC335" s="938" t="s">
        <v>178</v>
      </c>
      <c r="AD335" s="939">
        <f>ROUND((((W335*D332)/1800)),4)</f>
        <v>2.1100000000000001E-2</v>
      </c>
      <c r="AE335" s="939">
        <f>ROUND(((Y335+Z335+AA335)),4)</f>
        <v>4.4400000000000002E-2</v>
      </c>
      <c r="AF335" s="61"/>
      <c r="AG335" s="61"/>
      <c r="AH335" s="61"/>
      <c r="AI335" s="61"/>
    </row>
    <row r="336" spans="1:35" s="417" customFormat="1" ht="15" customHeight="1" x14ac:dyDescent="0.2">
      <c r="A336" s="559"/>
      <c r="B336" s="411"/>
      <c r="C336" s="400"/>
      <c r="D336" s="400"/>
      <c r="E336" s="400"/>
      <c r="F336" s="400"/>
      <c r="G336" s="400"/>
      <c r="H336" s="400"/>
      <c r="I336" s="400"/>
      <c r="J336" s="400"/>
      <c r="K336" s="409">
        <v>0.72</v>
      </c>
      <c r="L336" s="409">
        <v>1.08</v>
      </c>
      <c r="M336" s="400"/>
      <c r="N336" s="400"/>
      <c r="O336" s="400"/>
      <c r="P336" s="400"/>
      <c r="Q336" s="400"/>
      <c r="R336" s="412">
        <v>0.17</v>
      </c>
      <c r="S336" s="208">
        <f>ROUND((K336*H332+1.3*K336*J332+R336*G332),4)</f>
        <v>252.66</v>
      </c>
      <c r="T336" s="208">
        <f>ROUND((L336*0.9*H332+1.3*L336*0.9*J332+R336*G332),4)</f>
        <v>337.52100000000002</v>
      </c>
      <c r="U336" s="208">
        <f>ROUND((L336*H332+1.3*L336*J332+R336*G332),4)</f>
        <v>373.89</v>
      </c>
      <c r="V336" s="208">
        <f>ROUND((K336*I332+1.3*K336*M332+R336*F332),4)</f>
        <v>20.46</v>
      </c>
      <c r="W336" s="208">
        <f>ROUND((L336*0.9*I332+1.3*L336*0.9*M332+R336*F332),4)</f>
        <v>27.263999999999999</v>
      </c>
      <c r="X336" s="208">
        <f>ROUND((L336*I332+1.3*L336*M332+R336*F332),4)</f>
        <v>30.18</v>
      </c>
      <c r="Y336" s="404">
        <f>ROUND((O332*S336*E332*N332/1000000),4)</f>
        <v>0</v>
      </c>
      <c r="Z336" s="404">
        <f>ROUND((P332*T336*E332*N332/1000000),4)</f>
        <v>1.01E-2</v>
      </c>
      <c r="AA336" s="404">
        <f>ROUND((Q332*U336*E332*N332/1000000),4)</f>
        <v>2.24E-2</v>
      </c>
      <c r="AB336" s="937" t="s">
        <v>61</v>
      </c>
      <c r="AC336" s="938" t="s">
        <v>62</v>
      </c>
      <c r="AD336" s="939">
        <f>ROUND((((W336*D332)/1800)),4)</f>
        <v>1.5100000000000001E-2</v>
      </c>
      <c r="AE336" s="939">
        <f>ROUND(((Y336+Z336+AA336)),4)</f>
        <v>3.2500000000000001E-2</v>
      </c>
      <c r="AF336" s="61"/>
      <c r="AG336" s="61"/>
      <c r="AH336" s="61"/>
      <c r="AI336" s="61"/>
    </row>
    <row r="337" spans="1:35" s="417" customFormat="1" ht="15" customHeight="1" x14ac:dyDescent="0.2">
      <c r="A337" s="559"/>
      <c r="B337" s="406"/>
      <c r="C337" s="401"/>
      <c r="D337" s="401"/>
      <c r="E337" s="401"/>
      <c r="F337" s="401"/>
      <c r="G337" s="401"/>
      <c r="H337" s="401"/>
      <c r="I337" s="401"/>
      <c r="J337" s="401"/>
      <c r="K337" s="409">
        <v>3.37</v>
      </c>
      <c r="L337" s="409">
        <v>4.1100000000000003</v>
      </c>
      <c r="M337" s="401"/>
      <c r="N337" s="401"/>
      <c r="O337" s="401"/>
      <c r="P337" s="401"/>
      <c r="Q337" s="401"/>
      <c r="R337" s="412">
        <v>6.31</v>
      </c>
      <c r="S337" s="208">
        <f>ROUND((K337*H332+1.3*K337*J332+R337*G332),4)</f>
        <v>1513.4475</v>
      </c>
      <c r="T337" s="208">
        <f>ROUND((L337*0.9*H332+1.3*L337*0.9*J332+R337*G332),4)</f>
        <v>1624.2383</v>
      </c>
      <c r="U337" s="208">
        <f>ROUND((L337*H332+1.3*L337*J332+R337*G332),4)</f>
        <v>1762.6424999999999</v>
      </c>
      <c r="V337" s="208">
        <f>ROUND((K337*I332+1.3*K337*M332+R337*F332),4)</f>
        <v>128.85</v>
      </c>
      <c r="W337" s="208">
        <f>ROUND((L337*0.9*I332+1.3*L337*0.9*M332+R337*F332),4)</f>
        <v>137.733</v>
      </c>
      <c r="X337" s="208">
        <f>ROUND((L337*I332+1.3*L337*M332+R337*F332),4)</f>
        <v>148.83000000000001</v>
      </c>
      <c r="Y337" s="404">
        <f>ROUND((O332*S337*E332*N332/1000000),4)</f>
        <v>0</v>
      </c>
      <c r="Z337" s="404">
        <f>ROUND((P332*T337*E332*N332/1000000),4)</f>
        <v>4.87E-2</v>
      </c>
      <c r="AA337" s="404">
        <f>ROUND((Q332*U337*E332*N332/1000000),4)</f>
        <v>0.10580000000000001</v>
      </c>
      <c r="AB337" s="937" t="s">
        <v>65</v>
      </c>
      <c r="AC337" s="938" t="s">
        <v>66</v>
      </c>
      <c r="AD337" s="939">
        <f>ROUND((((W337*D332)/1800)),4)</f>
        <v>7.6499999999999999E-2</v>
      </c>
      <c r="AE337" s="939">
        <f>ROUND(((Y337+Z337+AA337)),4)</f>
        <v>0.1545</v>
      </c>
      <c r="AF337" s="61"/>
      <c r="AG337" s="61"/>
      <c r="AH337" s="61"/>
      <c r="AI337" s="61"/>
    </row>
    <row r="338" spans="1:35" s="417" customFormat="1" ht="15" customHeight="1" x14ac:dyDescent="0.2">
      <c r="A338" s="559"/>
      <c r="B338" s="402" t="s">
        <v>406</v>
      </c>
      <c r="C338" s="413">
        <v>5</v>
      </c>
      <c r="D338" s="381">
        <v>1</v>
      </c>
      <c r="E338" s="381">
        <v>1</v>
      </c>
      <c r="F338" s="381">
        <v>6</v>
      </c>
      <c r="G338" s="381">
        <v>60</v>
      </c>
      <c r="H338" s="381">
        <f>(8-1-0.75*2)*60*E338-J338-8*0.12*60</f>
        <v>57.900000000000006</v>
      </c>
      <c r="I338" s="381">
        <v>14</v>
      </c>
      <c r="J338" s="381">
        <f>(8-1-0.75*2)*0.65*60*E338</f>
        <v>214.5</v>
      </c>
      <c r="K338" s="208">
        <v>4.01</v>
      </c>
      <c r="L338" s="208">
        <v>4.01</v>
      </c>
      <c r="M338" s="381">
        <v>10</v>
      </c>
      <c r="N338" s="381">
        <f>D338/E338</f>
        <v>1</v>
      </c>
      <c r="O338" s="485">
        <v>0</v>
      </c>
      <c r="P338" s="485">
        <v>30</v>
      </c>
      <c r="Q338" s="483">
        <v>60</v>
      </c>
      <c r="R338" s="403">
        <v>0.78</v>
      </c>
      <c r="S338" s="208">
        <f>ROUND((K338*H338+1.3*K338*J338+R338*G338),4)</f>
        <v>1397.1675</v>
      </c>
      <c r="T338" s="208">
        <f>ROUND((L338*H338+1.3*L338*J338+R338*G338),4)</f>
        <v>1397.1675</v>
      </c>
      <c r="U338" s="208">
        <f>ROUND((L338*H338+1.3*L338*J338+R338*G338),4)</f>
        <v>1397.1675</v>
      </c>
      <c r="V338" s="208">
        <f>ROUND((K338*I338+1.3*K338*M338+R338*F338),4)</f>
        <v>112.95</v>
      </c>
      <c r="W338" s="208">
        <f>ROUND((L338*I338+1.3*L338*M338+R338*F338),4)</f>
        <v>112.95</v>
      </c>
      <c r="X338" s="208">
        <f>ROUND((L338*I338+1.3*L338*M338+R338*F338),4)</f>
        <v>112.95</v>
      </c>
      <c r="Y338" s="404">
        <f>ROUND((O338*S338*E338*N338/1000000),4)</f>
        <v>0</v>
      </c>
      <c r="Z338" s="404">
        <f>ROUND((P338*T338*E338*N338/1000000),4)</f>
        <v>4.19E-2</v>
      </c>
      <c r="AA338" s="404">
        <f>ROUND((Q338*U338*E338*N338/1000000),4)</f>
        <v>8.3799999999999999E-2</v>
      </c>
      <c r="AB338" s="937" t="s">
        <v>48</v>
      </c>
      <c r="AC338" s="938" t="s">
        <v>49</v>
      </c>
      <c r="AD338" s="939">
        <f>ROUND((((W338*D338)/1800)*0.8),4)</f>
        <v>5.0200000000000002E-2</v>
      </c>
      <c r="AE338" s="939">
        <f>ROUND(((Y338+Z338+AA338)*0.8),4)</f>
        <v>0.10059999999999999</v>
      </c>
      <c r="AF338" s="61"/>
      <c r="AG338" s="61"/>
      <c r="AH338" s="61"/>
      <c r="AI338" s="61"/>
    </row>
    <row r="339" spans="1:35" s="417" customFormat="1" ht="15" customHeight="1" x14ac:dyDescent="0.2">
      <c r="A339" s="559"/>
      <c r="B339" s="405" t="s">
        <v>769</v>
      </c>
      <c r="C339" s="414"/>
      <c r="D339" s="400"/>
      <c r="E339" s="400"/>
      <c r="F339" s="400"/>
      <c r="G339" s="400"/>
      <c r="H339" s="400"/>
      <c r="I339" s="400"/>
      <c r="J339" s="400"/>
      <c r="K339" s="401"/>
      <c r="L339" s="401"/>
      <c r="M339" s="400"/>
      <c r="N339" s="400"/>
      <c r="O339" s="400"/>
      <c r="P339" s="400"/>
      <c r="Q339" s="400"/>
      <c r="R339" s="406"/>
      <c r="S339" s="407"/>
      <c r="T339" s="407"/>
      <c r="U339" s="407"/>
      <c r="V339" s="407"/>
      <c r="W339" s="407"/>
      <c r="X339" s="407"/>
      <c r="Y339" s="407"/>
      <c r="Z339" s="407"/>
      <c r="AA339" s="407"/>
      <c r="AB339" s="937" t="s">
        <v>51</v>
      </c>
      <c r="AC339" s="938" t="s">
        <v>52</v>
      </c>
      <c r="AD339" s="939">
        <f>ROUND((((W338*D338)/1800)*0.13),4)</f>
        <v>8.2000000000000007E-3</v>
      </c>
      <c r="AE339" s="939">
        <f>ROUND(((Y338+Z338+AA338)*0.13),4)</f>
        <v>1.6299999999999999E-2</v>
      </c>
      <c r="AF339" s="61"/>
      <c r="AG339" s="61"/>
      <c r="AH339" s="61"/>
      <c r="AI339" s="61"/>
    </row>
    <row r="340" spans="1:35" s="417" customFormat="1" ht="15" customHeight="1" x14ac:dyDescent="0.2">
      <c r="A340" s="559"/>
      <c r="B340" s="400" t="s">
        <v>770</v>
      </c>
      <c r="C340" s="415"/>
      <c r="D340" s="400"/>
      <c r="E340" s="400"/>
      <c r="F340" s="400"/>
      <c r="G340" s="400"/>
      <c r="H340" s="400"/>
      <c r="I340" s="400"/>
      <c r="J340" s="400"/>
      <c r="K340" s="409">
        <v>0.31</v>
      </c>
      <c r="L340" s="409">
        <v>0.38</v>
      </c>
      <c r="M340" s="400"/>
      <c r="N340" s="400"/>
      <c r="O340" s="400"/>
      <c r="P340" s="400"/>
      <c r="Q340" s="400"/>
      <c r="R340" s="410">
        <v>0.16</v>
      </c>
      <c r="S340" s="208">
        <f>ROUND((K340*H338+1.3*K340*J338+R340*G338),4)</f>
        <v>113.99250000000001</v>
      </c>
      <c r="T340" s="208">
        <f>ROUND((L340*0.9*H338+1.3*L340*0.9*J338+R340*G338),4)</f>
        <v>124.7685</v>
      </c>
      <c r="U340" s="208">
        <f>ROUND((L340*H338+1.3*L340*J338+R340*G338),4)</f>
        <v>137.565</v>
      </c>
      <c r="V340" s="208">
        <f>ROUND((K340*I338+1.3*K340*M338+R340*F338),4)</f>
        <v>9.33</v>
      </c>
      <c r="W340" s="208">
        <f>ROUND((L340*0.9*I338+1.3*L340*0.9*M338+R340*F338),4)</f>
        <v>10.194000000000001</v>
      </c>
      <c r="X340" s="208">
        <f>ROUND((L340*I338+1.3*L340*M338+R340*F338),4)</f>
        <v>11.22</v>
      </c>
      <c r="Y340" s="404">
        <f>ROUND((O338*S340*E338*N338/1000000),4)</f>
        <v>0</v>
      </c>
      <c r="Z340" s="404">
        <f>ROUND((P338*T340*E338*N338/1000000),4)</f>
        <v>3.7000000000000002E-3</v>
      </c>
      <c r="AA340" s="404">
        <f>ROUND((Q338*U340*E338*N338/1000000),4)</f>
        <v>8.3000000000000001E-3</v>
      </c>
      <c r="AB340" s="937" t="s">
        <v>56</v>
      </c>
      <c r="AC340" s="938" t="s">
        <v>57</v>
      </c>
      <c r="AD340" s="939">
        <f>ROUND((((W340*D338)/1800)),4)</f>
        <v>5.7000000000000002E-3</v>
      </c>
      <c r="AE340" s="939">
        <f>ROUND(((Y340+Z340+AA340)),5)</f>
        <v>1.2E-2</v>
      </c>
      <c r="AF340" s="61"/>
      <c r="AG340" s="61"/>
      <c r="AH340" s="61"/>
      <c r="AI340" s="61"/>
    </row>
    <row r="341" spans="1:35" s="417" customFormat="1" ht="15" customHeight="1" x14ac:dyDescent="0.2">
      <c r="A341" s="559"/>
      <c r="B341" s="400"/>
      <c r="C341" s="414"/>
      <c r="D341" s="400"/>
      <c r="E341" s="400"/>
      <c r="F341" s="400"/>
      <c r="G341" s="400"/>
      <c r="H341" s="400"/>
      <c r="I341" s="400"/>
      <c r="J341" s="400"/>
      <c r="K341" s="409">
        <v>0.71</v>
      </c>
      <c r="L341" s="409">
        <v>0.85</v>
      </c>
      <c r="M341" s="400"/>
      <c r="N341" s="400"/>
      <c r="O341" s="400"/>
      <c r="P341" s="400"/>
      <c r="Q341" s="400"/>
      <c r="R341" s="412">
        <v>0.49</v>
      </c>
      <c r="S341" s="208">
        <f>ROUND((K341*H338+1.3*K341*J338+R341*G338),4)</f>
        <v>268.49250000000001</v>
      </c>
      <c r="T341" s="208">
        <f>ROUND((L341*0.9*H338+1.3*L341*0.9*J338+R341*G338),4)</f>
        <v>287.0138</v>
      </c>
      <c r="U341" s="208">
        <f>ROUND((L341*H338+1.3*L341*J338+R341*G338),4)</f>
        <v>315.63749999999999</v>
      </c>
      <c r="V341" s="208">
        <f>ROUND((K341*I338+1.3*K341*M338+R341*F338),4)</f>
        <v>22.11</v>
      </c>
      <c r="W341" s="208">
        <f>ROUND((L341*0.9*I338+1.3*L341*0.9*M338+R341*F338),4)</f>
        <v>23.594999999999999</v>
      </c>
      <c r="X341" s="208">
        <f>ROUND((L341*I338+1.3*M338+R341*F338),4)</f>
        <v>27.84</v>
      </c>
      <c r="Y341" s="404">
        <f>ROUND((O338*S341*E338*N338/1000000),4)</f>
        <v>0</v>
      </c>
      <c r="Z341" s="404">
        <f>ROUND((P338*T341*E338*N338/1000000),4)</f>
        <v>8.6E-3</v>
      </c>
      <c r="AA341" s="404">
        <f>ROUND((Q338*U341*E338*N338/1000000),4)</f>
        <v>1.89E-2</v>
      </c>
      <c r="AB341" s="937" t="s">
        <v>177</v>
      </c>
      <c r="AC341" s="938" t="s">
        <v>178</v>
      </c>
      <c r="AD341" s="939">
        <f>ROUND((((W341*D338)/1800)),4)</f>
        <v>1.3100000000000001E-2</v>
      </c>
      <c r="AE341" s="939">
        <f>ROUND(((Y341+Z341+AA341)),4)</f>
        <v>2.75E-2</v>
      </c>
      <c r="AF341" s="61"/>
      <c r="AG341" s="61"/>
      <c r="AH341" s="61"/>
      <c r="AI341" s="61"/>
    </row>
    <row r="342" spans="1:35" s="417" customFormat="1" ht="15" customHeight="1" x14ac:dyDescent="0.2">
      <c r="A342" s="559"/>
      <c r="B342" s="400"/>
      <c r="C342" s="414"/>
      <c r="D342" s="400"/>
      <c r="E342" s="400"/>
      <c r="F342" s="400"/>
      <c r="G342" s="400"/>
      <c r="H342" s="400"/>
      <c r="I342" s="400"/>
      <c r="J342" s="400"/>
      <c r="K342" s="409">
        <v>0.45</v>
      </c>
      <c r="L342" s="409">
        <v>0.67</v>
      </c>
      <c r="M342" s="400"/>
      <c r="N342" s="400"/>
      <c r="O342" s="400"/>
      <c r="P342" s="400"/>
      <c r="Q342" s="400"/>
      <c r="R342" s="412">
        <v>0.1</v>
      </c>
      <c r="S342" s="208">
        <f>ROUND((K342*H338+1.3*K342*J338+R342*G338),4)</f>
        <v>157.53749999999999</v>
      </c>
      <c r="T342" s="208">
        <f>ROUND((L342*0.9*H338+1.3*L342*0.9*J338+R342*G338),4)</f>
        <v>209.06030000000001</v>
      </c>
      <c r="U342" s="208">
        <f>ROUND((L342*H338+1.3*L342*J338+R342*G338),4)</f>
        <v>231.6225</v>
      </c>
      <c r="V342" s="208">
        <f>ROUND((K342*I338+1.3*K342*M338+R342*F338),4)</f>
        <v>12.75</v>
      </c>
      <c r="W342" s="208">
        <f>ROUND((L342*0.9*I338+1.3*L342*0.9*M338+R342*F338),4)</f>
        <v>16.881</v>
      </c>
      <c r="X342" s="208">
        <f>ROUND((L342*I338+1.3*L342*M338+R342*F338),4)</f>
        <v>18.690000000000001</v>
      </c>
      <c r="Y342" s="404">
        <f>ROUND((O338*S342*E338*N338/1000000),4)</f>
        <v>0</v>
      </c>
      <c r="Z342" s="404">
        <f>ROUND((P338*T342*E338*N338/1000000),4)</f>
        <v>6.3E-3</v>
      </c>
      <c r="AA342" s="404">
        <f>ROUND((Q338*U342*E338*N338/1000000),4)</f>
        <v>1.3899999999999999E-2</v>
      </c>
      <c r="AB342" s="937" t="s">
        <v>61</v>
      </c>
      <c r="AC342" s="938" t="s">
        <v>62</v>
      </c>
      <c r="AD342" s="939">
        <f>ROUND((((W342*D338)/1800)),4)</f>
        <v>9.4000000000000004E-3</v>
      </c>
      <c r="AE342" s="939">
        <f>ROUND(((Y342+Z342+AA342)),4)</f>
        <v>2.0199999999999999E-2</v>
      </c>
      <c r="AF342" s="61"/>
      <c r="AG342" s="61"/>
      <c r="AH342" s="61"/>
      <c r="AI342" s="61"/>
    </row>
    <row r="343" spans="1:35" s="417" customFormat="1" ht="15" customHeight="1" x14ac:dyDescent="0.2">
      <c r="A343" s="512"/>
      <c r="B343" s="401"/>
      <c r="C343" s="416"/>
      <c r="D343" s="401"/>
      <c r="E343" s="401"/>
      <c r="F343" s="401"/>
      <c r="G343" s="401"/>
      <c r="H343" s="401"/>
      <c r="I343" s="401"/>
      <c r="J343" s="401"/>
      <c r="K343" s="409">
        <v>2.09</v>
      </c>
      <c r="L343" s="409">
        <v>2.5499999999999998</v>
      </c>
      <c r="M343" s="401"/>
      <c r="N343" s="401"/>
      <c r="O343" s="401"/>
      <c r="P343" s="401"/>
      <c r="Q343" s="401"/>
      <c r="R343" s="412">
        <v>3.91</v>
      </c>
      <c r="S343" s="208">
        <f>ROUND((K343*H338+1.3*K343*J338+R343*G338),4)</f>
        <v>938.40750000000003</v>
      </c>
      <c r="T343" s="208">
        <f>ROUND((L343*0.9*H338+1.3*L343*0.9*J338+R343*G338),4)</f>
        <v>1007.4413</v>
      </c>
      <c r="U343" s="208">
        <f>ROUND((L343*H338+1.3*L343*J338+R343*G338),4)</f>
        <v>1093.3125</v>
      </c>
      <c r="V343" s="208">
        <f>ROUND((K343*I338+1.3*K343*M338+R343*F338),4)</f>
        <v>79.89</v>
      </c>
      <c r="W343" s="208">
        <f>ROUND((L343*0.9*I338+1.3*L343*0.9*M338+R343*F338),4)</f>
        <v>85.424999999999997</v>
      </c>
      <c r="X343" s="208">
        <f>ROUND((L343*I338+1.3*L343*M338+R343*F338),4)</f>
        <v>92.31</v>
      </c>
      <c r="Y343" s="404">
        <f>ROUND((O338*S343*E338*N338/1000000),4)</f>
        <v>0</v>
      </c>
      <c r="Z343" s="404">
        <f>ROUND((P338*T343*E338*N338/1000000),4)</f>
        <v>3.0200000000000001E-2</v>
      </c>
      <c r="AA343" s="404">
        <f>ROUND((Q338*U343*E338*N338/1000000),4)</f>
        <v>6.5600000000000006E-2</v>
      </c>
      <c r="AB343" s="937" t="s">
        <v>65</v>
      </c>
      <c r="AC343" s="938" t="s">
        <v>66</v>
      </c>
      <c r="AD343" s="939">
        <f>ROUND((((W343*D338)/1800)),4)</f>
        <v>4.7500000000000001E-2</v>
      </c>
      <c r="AE343" s="939">
        <f>ROUND(((Y343+Z343+AA343)),4)</f>
        <v>9.5799999999999996E-2</v>
      </c>
      <c r="AF343" s="61"/>
      <c r="AG343" s="61"/>
      <c r="AH343" s="61"/>
      <c r="AI343" s="61"/>
    </row>
    <row r="344" spans="1:35" s="417" customFormat="1" ht="15" customHeight="1" x14ac:dyDescent="0.2">
      <c r="A344" s="1481" t="s">
        <v>768</v>
      </c>
      <c r="B344" s="1482"/>
      <c r="C344" s="1482"/>
      <c r="D344" s="1482"/>
      <c r="E344" s="1482"/>
      <c r="F344" s="1482"/>
      <c r="G344" s="1482"/>
      <c r="H344" s="1482"/>
      <c r="I344" s="1482"/>
      <c r="J344" s="1482"/>
      <c r="K344" s="1482"/>
      <c r="L344" s="1482"/>
      <c r="M344" s="1482"/>
      <c r="N344" s="1482"/>
      <c r="O344" s="1482"/>
      <c r="P344" s="1482"/>
      <c r="Q344" s="1482"/>
      <c r="R344" s="1483"/>
      <c r="AB344" s="934" t="s">
        <v>48</v>
      </c>
      <c r="AC344" s="935" t="s">
        <v>49</v>
      </c>
      <c r="AD344" s="936">
        <f>MAX(AD332,AD338)</f>
        <v>8.1000000000000003E-2</v>
      </c>
      <c r="AE344" s="936">
        <f t="shared" ref="AE344" si="6">AE332+AE338</f>
        <v>0.26290000000000002</v>
      </c>
      <c r="AF344" s="61"/>
      <c r="AG344" s="61"/>
      <c r="AH344" s="61"/>
      <c r="AI344" s="61"/>
    </row>
    <row r="345" spans="1:35" s="417" customFormat="1" ht="15" customHeight="1" x14ac:dyDescent="0.2">
      <c r="A345" s="1484"/>
      <c r="B345" s="1485"/>
      <c r="C345" s="1485"/>
      <c r="D345" s="1485"/>
      <c r="E345" s="1485"/>
      <c r="F345" s="1485"/>
      <c r="G345" s="1485"/>
      <c r="H345" s="1485"/>
      <c r="I345" s="1485"/>
      <c r="J345" s="1485"/>
      <c r="K345" s="1485"/>
      <c r="L345" s="1485"/>
      <c r="M345" s="1485"/>
      <c r="N345" s="1485"/>
      <c r="O345" s="1485"/>
      <c r="P345" s="1485"/>
      <c r="Q345" s="1485"/>
      <c r="R345" s="1486"/>
      <c r="AB345" s="934" t="s">
        <v>51</v>
      </c>
      <c r="AC345" s="935" t="s">
        <v>52</v>
      </c>
      <c r="AD345" s="936">
        <f t="shared" ref="AD345:AD349" si="7">MAX(AD333,AD339)</f>
        <v>1.32E-2</v>
      </c>
      <c r="AE345" s="936">
        <f t="shared" ref="AE345" si="8">AE333+AE339</f>
        <v>4.2700000000000002E-2</v>
      </c>
      <c r="AF345" s="61"/>
      <c r="AG345" s="61"/>
      <c r="AH345" s="61"/>
      <c r="AI345" s="61"/>
    </row>
    <row r="346" spans="1:35" s="417" customFormat="1" ht="15" customHeight="1" x14ac:dyDescent="0.2">
      <c r="A346" s="1484"/>
      <c r="B346" s="1485"/>
      <c r="C346" s="1485"/>
      <c r="D346" s="1485"/>
      <c r="E346" s="1485"/>
      <c r="F346" s="1485"/>
      <c r="G346" s="1485"/>
      <c r="H346" s="1485"/>
      <c r="I346" s="1485"/>
      <c r="J346" s="1485"/>
      <c r="K346" s="1485"/>
      <c r="L346" s="1485"/>
      <c r="M346" s="1485"/>
      <c r="N346" s="1485"/>
      <c r="O346" s="1485"/>
      <c r="P346" s="1485"/>
      <c r="Q346" s="1485"/>
      <c r="R346" s="1486"/>
      <c r="AB346" s="934" t="s">
        <v>56</v>
      </c>
      <c r="AC346" s="935" t="s">
        <v>57</v>
      </c>
      <c r="AD346" s="936">
        <f t="shared" si="7"/>
        <v>9.2999999999999992E-3</v>
      </c>
      <c r="AE346" s="936">
        <f t="shared" ref="AE346" si="9">AE334+AE340</f>
        <v>3.1800000000000002E-2</v>
      </c>
      <c r="AF346" s="61"/>
      <c r="AG346" s="61"/>
      <c r="AH346" s="61"/>
      <c r="AI346" s="61"/>
    </row>
    <row r="347" spans="1:35" s="417" customFormat="1" ht="15" customHeight="1" x14ac:dyDescent="0.2">
      <c r="A347" s="1484"/>
      <c r="B347" s="1485"/>
      <c r="C347" s="1485"/>
      <c r="D347" s="1485"/>
      <c r="E347" s="1485"/>
      <c r="F347" s="1485"/>
      <c r="G347" s="1485"/>
      <c r="H347" s="1485"/>
      <c r="I347" s="1485"/>
      <c r="J347" s="1485"/>
      <c r="K347" s="1485"/>
      <c r="L347" s="1485"/>
      <c r="M347" s="1485"/>
      <c r="N347" s="1485"/>
      <c r="O347" s="1485"/>
      <c r="P347" s="1485"/>
      <c r="Q347" s="1485"/>
      <c r="R347" s="1486"/>
      <c r="AB347" s="934" t="s">
        <v>177</v>
      </c>
      <c r="AC347" s="935" t="s">
        <v>178</v>
      </c>
      <c r="AD347" s="936">
        <f t="shared" si="7"/>
        <v>2.1100000000000001E-2</v>
      </c>
      <c r="AE347" s="936">
        <f t="shared" ref="AE347" si="10">AE335+AE341</f>
        <v>7.1900000000000006E-2</v>
      </c>
      <c r="AF347" s="61"/>
      <c r="AG347" s="61"/>
      <c r="AH347" s="61"/>
      <c r="AI347" s="61"/>
    </row>
    <row r="348" spans="1:35" s="417" customFormat="1" ht="15" customHeight="1" x14ac:dyDescent="0.2">
      <c r="A348" s="1484"/>
      <c r="B348" s="1485"/>
      <c r="C348" s="1485"/>
      <c r="D348" s="1485"/>
      <c r="E348" s="1485"/>
      <c r="F348" s="1485"/>
      <c r="G348" s="1485"/>
      <c r="H348" s="1485"/>
      <c r="I348" s="1485"/>
      <c r="J348" s="1485"/>
      <c r="K348" s="1485"/>
      <c r="L348" s="1485"/>
      <c r="M348" s="1485"/>
      <c r="N348" s="1485"/>
      <c r="O348" s="1485"/>
      <c r="P348" s="1485"/>
      <c r="Q348" s="1485"/>
      <c r="R348" s="1486"/>
      <c r="AB348" s="934" t="s">
        <v>61</v>
      </c>
      <c r="AC348" s="935" t="s">
        <v>62</v>
      </c>
      <c r="AD348" s="936">
        <f t="shared" si="7"/>
        <v>1.5100000000000001E-2</v>
      </c>
      <c r="AE348" s="936">
        <f t="shared" ref="AE348" si="11">AE336+AE342</f>
        <v>5.2699999999999997E-2</v>
      </c>
      <c r="AF348" s="61"/>
      <c r="AG348" s="61"/>
      <c r="AH348" s="61"/>
      <c r="AI348" s="61"/>
    </row>
    <row r="349" spans="1:35" s="417" customFormat="1" ht="15" customHeight="1" x14ac:dyDescent="0.2">
      <c r="A349" s="1487"/>
      <c r="B349" s="1488"/>
      <c r="C349" s="1488"/>
      <c r="D349" s="1488"/>
      <c r="E349" s="1488"/>
      <c r="F349" s="1488"/>
      <c r="G349" s="1488"/>
      <c r="H349" s="1488"/>
      <c r="I349" s="1488"/>
      <c r="J349" s="1488"/>
      <c r="K349" s="1488"/>
      <c r="L349" s="1488"/>
      <c r="M349" s="1488"/>
      <c r="N349" s="1488"/>
      <c r="O349" s="1488"/>
      <c r="P349" s="1488"/>
      <c r="Q349" s="1488"/>
      <c r="R349" s="1489"/>
      <c r="AB349" s="934" t="s">
        <v>65</v>
      </c>
      <c r="AC349" s="935" t="s">
        <v>66</v>
      </c>
      <c r="AD349" s="936">
        <f t="shared" si="7"/>
        <v>7.6499999999999999E-2</v>
      </c>
      <c r="AE349" s="936">
        <f t="shared" ref="AE349" si="12">AE337+AE343</f>
        <v>0.25029999999999997</v>
      </c>
      <c r="AF349" s="61">
        <f>SUM(AD344:AD349)</f>
        <v>0.2162</v>
      </c>
      <c r="AG349" s="61">
        <f>SUM(AE344:AE349)</f>
        <v>0.71230000000000004</v>
      </c>
      <c r="AH349" s="61"/>
      <c r="AI349" s="61"/>
    </row>
    <row r="350" spans="1:35" s="417" customFormat="1" ht="15" customHeight="1" x14ac:dyDescent="0.2">
      <c r="A350" s="1284" t="s">
        <v>1532</v>
      </c>
      <c r="B350" s="1437"/>
      <c r="C350" s="1438"/>
      <c r="D350" s="1438"/>
      <c r="E350" s="1438"/>
      <c r="F350" s="1438"/>
      <c r="G350" s="1438"/>
      <c r="H350" s="1438"/>
      <c r="I350" s="1438"/>
      <c r="J350" s="1438"/>
      <c r="K350" s="1438"/>
      <c r="L350" s="1438"/>
      <c r="M350" s="1438"/>
      <c r="N350" s="1438"/>
      <c r="O350" s="1438"/>
      <c r="P350" s="1438"/>
      <c r="Q350" s="1438"/>
      <c r="R350" s="1438"/>
      <c r="S350" s="1438"/>
      <c r="T350" s="1438"/>
      <c r="U350" s="1438"/>
      <c r="V350" s="1438"/>
      <c r="W350" s="1438"/>
      <c r="X350" s="1438"/>
      <c r="Y350" s="1438"/>
      <c r="Z350" s="1438"/>
      <c r="AA350" s="1438"/>
      <c r="AB350" s="1438"/>
      <c r="AC350" s="1438"/>
      <c r="AD350" s="1438"/>
      <c r="AE350" s="1439"/>
      <c r="AF350" s="61"/>
      <c r="AG350" s="61"/>
      <c r="AH350" s="61"/>
      <c r="AI350" s="61"/>
    </row>
    <row r="351" spans="1:35" s="417" customFormat="1" ht="15" customHeight="1" x14ac:dyDescent="0.2">
      <c r="A351" s="560" t="s">
        <v>771</v>
      </c>
      <c r="B351" s="402" t="s">
        <v>404</v>
      </c>
      <c r="C351" s="413">
        <v>6</v>
      </c>
      <c r="D351" s="381">
        <v>1</v>
      </c>
      <c r="E351" s="381">
        <v>1</v>
      </c>
      <c r="F351" s="381">
        <v>6</v>
      </c>
      <c r="G351" s="381">
        <v>60</v>
      </c>
      <c r="H351" s="381">
        <f>(8-1-0.75*2)*60*E351-J351-8*0.12*60</f>
        <v>57.900000000000006</v>
      </c>
      <c r="I351" s="381">
        <v>14</v>
      </c>
      <c r="J351" s="381">
        <f>(8-1-0.75*2)*0.65*60*E351</f>
        <v>214.5</v>
      </c>
      <c r="K351" s="208">
        <v>6.47</v>
      </c>
      <c r="L351" s="208">
        <v>6.47</v>
      </c>
      <c r="M351" s="381">
        <v>10</v>
      </c>
      <c r="N351" s="381">
        <f>D351/E351</f>
        <v>1</v>
      </c>
      <c r="O351" s="485">
        <v>0</v>
      </c>
      <c r="P351" s="485">
        <v>30</v>
      </c>
      <c r="Q351" s="483">
        <v>60</v>
      </c>
      <c r="R351" s="403">
        <v>1.27</v>
      </c>
      <c r="S351" s="208">
        <f>ROUND((K351*H351+1.3*K351*J351+R351*G351),4)</f>
        <v>2254.9724999999999</v>
      </c>
      <c r="T351" s="208">
        <f>ROUND((L351*H351+1.3*L351*J351+R351*G351),4)</f>
        <v>2254.9724999999999</v>
      </c>
      <c r="U351" s="208">
        <f>ROUND((L351*H351+1.3*L351*J351+R351*G351),4)</f>
        <v>2254.9724999999999</v>
      </c>
      <c r="V351" s="208">
        <f>ROUND((K351*I351+1.3*K351*M351+R351*F351),4)</f>
        <v>182.31</v>
      </c>
      <c r="W351" s="208">
        <f>ROUND((L351*I351+1.3*L351*M351+R351*F351),4)</f>
        <v>182.31</v>
      </c>
      <c r="X351" s="208">
        <f>ROUND((L351*I351+1.3*L351*M351+R351*F351),4)</f>
        <v>182.31</v>
      </c>
      <c r="Y351" s="404">
        <f>ROUND((O351*S351*E351*N351/1000000),4)</f>
        <v>0</v>
      </c>
      <c r="Z351" s="404">
        <f>ROUND((P351*T351*E351*N351/1000000),4)</f>
        <v>6.7599999999999993E-2</v>
      </c>
      <c r="AA351" s="404">
        <f>ROUND((Q351*U351*E351*N351/1000000),4)</f>
        <v>0.1353</v>
      </c>
      <c r="AB351" s="937" t="s">
        <v>48</v>
      </c>
      <c r="AC351" s="938" t="s">
        <v>49</v>
      </c>
      <c r="AD351" s="939">
        <f>ROUND((((W351*D351)/1800)*0.8),4)</f>
        <v>8.1000000000000003E-2</v>
      </c>
      <c r="AE351" s="939">
        <f>ROUND(((Y351+Z351+AA351)*0.8),4)</f>
        <v>0.1623</v>
      </c>
      <c r="AF351" s="61"/>
      <c r="AG351" s="61"/>
      <c r="AH351" s="61"/>
      <c r="AI351" s="61"/>
    </row>
    <row r="352" spans="1:35" s="417" customFormat="1" ht="15" customHeight="1" x14ac:dyDescent="0.2">
      <c r="A352" s="561" t="s">
        <v>166</v>
      </c>
      <c r="B352" s="405" t="s">
        <v>405</v>
      </c>
      <c r="C352" s="414"/>
      <c r="D352" s="400"/>
      <c r="E352" s="400"/>
      <c r="F352" s="400"/>
      <c r="G352" s="400"/>
      <c r="H352" s="400"/>
      <c r="I352" s="400"/>
      <c r="J352" s="400"/>
      <c r="K352" s="401"/>
      <c r="L352" s="401"/>
      <c r="M352" s="400"/>
      <c r="N352" s="400"/>
      <c r="O352" s="400"/>
      <c r="P352" s="400"/>
      <c r="Q352" s="400"/>
      <c r="R352" s="406"/>
      <c r="S352" s="407"/>
      <c r="T352" s="407"/>
      <c r="U352" s="407"/>
      <c r="V352" s="407"/>
      <c r="W352" s="407"/>
      <c r="X352" s="407"/>
      <c r="Y352" s="407"/>
      <c r="Z352" s="407"/>
      <c r="AA352" s="407"/>
      <c r="AB352" s="937" t="s">
        <v>51</v>
      </c>
      <c r="AC352" s="938" t="s">
        <v>52</v>
      </c>
      <c r="AD352" s="939">
        <f>ROUND((((W351*D351)/1800)*0.13),4)</f>
        <v>1.32E-2</v>
      </c>
      <c r="AE352" s="939">
        <f>ROUND(((Y351+Z351+AA351)*0.13),4)</f>
        <v>2.64E-2</v>
      </c>
      <c r="AF352" s="61"/>
      <c r="AG352" s="61"/>
      <c r="AH352" s="61"/>
      <c r="AI352" s="61"/>
    </row>
    <row r="353" spans="1:35" s="417" customFormat="1" ht="15" customHeight="1" x14ac:dyDescent="0.2">
      <c r="A353" s="559"/>
      <c r="B353" s="400" t="s">
        <v>341</v>
      </c>
      <c r="C353" s="415"/>
      <c r="D353" s="400"/>
      <c r="E353" s="400"/>
      <c r="F353" s="400"/>
      <c r="G353" s="400"/>
      <c r="H353" s="400"/>
      <c r="I353" s="400"/>
      <c r="J353" s="400"/>
      <c r="K353" s="409">
        <v>0.51</v>
      </c>
      <c r="L353" s="409">
        <v>0.63</v>
      </c>
      <c r="M353" s="400"/>
      <c r="N353" s="400"/>
      <c r="O353" s="400"/>
      <c r="P353" s="400"/>
      <c r="Q353" s="400"/>
      <c r="R353" s="410">
        <v>0.25</v>
      </c>
      <c r="S353" s="208">
        <f>ROUND((K353*H351+1.3*K353*J351+R353*G351),4)</f>
        <v>186.74250000000001</v>
      </c>
      <c r="T353" s="208">
        <f>ROUND((L353*0.9*H351+1.3*L353*0.9*J351+R353*G351),4)</f>
        <v>205.93729999999999</v>
      </c>
      <c r="U353" s="208">
        <f>ROUND((L353*H351+1.3*L353*J351+R353*G351),4)</f>
        <v>227.1525</v>
      </c>
      <c r="V353" s="208">
        <f>ROUND((K353*I351+1.3*K353*M351+R353*F351),4)</f>
        <v>15.27</v>
      </c>
      <c r="W353" s="208">
        <f>ROUND((L353*0.9*I351+1.3*L353*0.9*M351+R353*F351),4)</f>
        <v>16.809000000000001</v>
      </c>
      <c r="X353" s="208">
        <f>ROUND((L353*I351+1.3*L353*M351+R353*F351),4)</f>
        <v>18.510000000000002</v>
      </c>
      <c r="Y353" s="404">
        <f>ROUND((O351*S353*E351*N351/1000000),4)</f>
        <v>0</v>
      </c>
      <c r="Z353" s="404">
        <f>ROUND((P351*T353*E351*N351/1000000),4)</f>
        <v>6.1999999999999998E-3</v>
      </c>
      <c r="AA353" s="404">
        <f>ROUND((Q351*U353*E351*N351/1000000),4)</f>
        <v>1.3599999999999999E-2</v>
      </c>
      <c r="AB353" s="937" t="s">
        <v>56</v>
      </c>
      <c r="AC353" s="938" t="s">
        <v>57</v>
      </c>
      <c r="AD353" s="939">
        <f>ROUND((((W353*D351)/1800)),4)</f>
        <v>9.2999999999999992E-3</v>
      </c>
      <c r="AE353" s="939">
        <f>ROUND(((Y353+Z353+AA353)),5)</f>
        <v>1.9800000000000002E-2</v>
      </c>
      <c r="AF353" s="61"/>
      <c r="AG353" s="61"/>
      <c r="AH353" s="61"/>
      <c r="AI353" s="61"/>
    </row>
    <row r="354" spans="1:35" s="417" customFormat="1" ht="15" customHeight="1" x14ac:dyDescent="0.2">
      <c r="A354" s="559"/>
      <c r="B354" s="400"/>
      <c r="C354" s="414"/>
      <c r="D354" s="400"/>
      <c r="E354" s="400"/>
      <c r="F354" s="400"/>
      <c r="G354" s="400"/>
      <c r="H354" s="400"/>
      <c r="I354" s="400"/>
      <c r="J354" s="400"/>
      <c r="K354" s="409">
        <v>1.1399999999999999</v>
      </c>
      <c r="L354" s="409">
        <v>1.37</v>
      </c>
      <c r="M354" s="400"/>
      <c r="N354" s="400"/>
      <c r="O354" s="400"/>
      <c r="P354" s="400"/>
      <c r="Q354" s="400"/>
      <c r="R354" s="412">
        <v>0.79</v>
      </c>
      <c r="S354" s="208">
        <f>ROUND((K354*H351+1.3*K354*J351+R354*G351),4)</f>
        <v>431.29500000000002</v>
      </c>
      <c r="T354" s="208">
        <f>ROUND((L354*0.9*H351+1.3*L354*0.9*J351+R354*G351),4)</f>
        <v>462.61279999999999</v>
      </c>
      <c r="U354" s="208">
        <f>ROUND((L354*H351+1.3*L354*J351+R354*G351),4)</f>
        <v>508.7475</v>
      </c>
      <c r="V354" s="208">
        <f>ROUND((K354*I351+1.3*K354*M351+R354*F351),4)</f>
        <v>35.520000000000003</v>
      </c>
      <c r="W354" s="208">
        <f>ROUND((L354*0.9*I351+1.3*L354*0.9*M351+R354*F351),4)</f>
        <v>38.030999999999999</v>
      </c>
      <c r="X354" s="208">
        <f>ROUND((L354*I351+1.3*M351+R354*F351),4)</f>
        <v>36.92</v>
      </c>
      <c r="Y354" s="404">
        <f>ROUND((O351*S354*E351*N351/1000000),4)</f>
        <v>0</v>
      </c>
      <c r="Z354" s="404">
        <f>ROUND((P351*T354*E351*N351/1000000),4)</f>
        <v>1.3899999999999999E-2</v>
      </c>
      <c r="AA354" s="404">
        <f>ROUND((Q351*U354*E351*N351/1000000),4)</f>
        <v>3.0499999999999999E-2</v>
      </c>
      <c r="AB354" s="937" t="s">
        <v>177</v>
      </c>
      <c r="AC354" s="938" t="s">
        <v>178</v>
      </c>
      <c r="AD354" s="939">
        <f>ROUND((((W354*D351)/1800)),4)</f>
        <v>2.1100000000000001E-2</v>
      </c>
      <c r="AE354" s="939">
        <f>ROUND(((Y354+Z354+AA354)),4)</f>
        <v>4.4400000000000002E-2</v>
      </c>
      <c r="AF354" s="61"/>
      <c r="AG354" s="61"/>
      <c r="AH354" s="61"/>
      <c r="AI354" s="61"/>
    </row>
    <row r="355" spans="1:35" s="417" customFormat="1" ht="15" customHeight="1" x14ac:dyDescent="0.2">
      <c r="A355" s="559"/>
      <c r="B355" s="400"/>
      <c r="C355" s="414"/>
      <c r="D355" s="400"/>
      <c r="E355" s="400"/>
      <c r="F355" s="400"/>
      <c r="G355" s="400"/>
      <c r="H355" s="400"/>
      <c r="I355" s="400"/>
      <c r="J355" s="400"/>
      <c r="K355" s="409">
        <v>0.72</v>
      </c>
      <c r="L355" s="409">
        <v>1.08</v>
      </c>
      <c r="M355" s="400"/>
      <c r="N355" s="400"/>
      <c r="O355" s="400"/>
      <c r="P355" s="400"/>
      <c r="Q355" s="400"/>
      <c r="R355" s="412">
        <v>0.17</v>
      </c>
      <c r="S355" s="208">
        <f>ROUND((K355*H351+1.3*K355*J351+R355*G351),4)</f>
        <v>252.66</v>
      </c>
      <c r="T355" s="208">
        <f>ROUND((L355*0.9*H351+1.3*L355*0.9*J351+R355*G351),4)</f>
        <v>337.52100000000002</v>
      </c>
      <c r="U355" s="208">
        <f>ROUND((L355*H351+1.3*L355*J351+R355*G351),4)</f>
        <v>373.89</v>
      </c>
      <c r="V355" s="208">
        <f>ROUND((K355*I351+1.3*K355*M351+R355*F351),4)</f>
        <v>20.46</v>
      </c>
      <c r="W355" s="208">
        <f>ROUND((L355*0.9*I351+1.3*L355*0.9*M351+R355*F351),4)</f>
        <v>27.263999999999999</v>
      </c>
      <c r="X355" s="208">
        <f>ROUND((L355*I351+1.3*L355*M351+R355*F351),4)</f>
        <v>30.18</v>
      </c>
      <c r="Y355" s="404">
        <f>ROUND((O351*S355*E351*N351/1000000),4)</f>
        <v>0</v>
      </c>
      <c r="Z355" s="404">
        <f>ROUND((P351*T355*E351*N351/1000000),4)</f>
        <v>1.01E-2</v>
      </c>
      <c r="AA355" s="404">
        <f>ROUND((Q351*U355*E351*N351/1000000),4)</f>
        <v>2.24E-2</v>
      </c>
      <c r="AB355" s="937" t="s">
        <v>61</v>
      </c>
      <c r="AC355" s="938" t="s">
        <v>62</v>
      </c>
      <c r="AD355" s="939">
        <f>ROUND((((W355*D351)/1800)),4)</f>
        <v>1.5100000000000001E-2</v>
      </c>
      <c r="AE355" s="939">
        <f>ROUND(((Y355+Z355+AA355)),4)</f>
        <v>3.2500000000000001E-2</v>
      </c>
      <c r="AF355" s="61"/>
      <c r="AG355" s="61"/>
      <c r="AH355" s="61"/>
      <c r="AI355" s="61"/>
    </row>
    <row r="356" spans="1:35" s="417" customFormat="1" ht="15" customHeight="1" x14ac:dyDescent="0.2">
      <c r="A356" s="559"/>
      <c r="B356" s="401"/>
      <c r="C356" s="416"/>
      <c r="D356" s="401"/>
      <c r="E356" s="401"/>
      <c r="F356" s="401"/>
      <c r="G356" s="401"/>
      <c r="H356" s="401"/>
      <c r="I356" s="401"/>
      <c r="J356" s="401"/>
      <c r="K356" s="409">
        <v>3.37</v>
      </c>
      <c r="L356" s="409">
        <v>4.1100000000000003</v>
      </c>
      <c r="M356" s="401"/>
      <c r="N356" s="401"/>
      <c r="O356" s="401"/>
      <c r="P356" s="401"/>
      <c r="Q356" s="401"/>
      <c r="R356" s="412">
        <v>6.31</v>
      </c>
      <c r="S356" s="208">
        <f>ROUND((K356*H351+1.3*K356*J351+R356*G351),4)</f>
        <v>1513.4475</v>
      </c>
      <c r="T356" s="208">
        <f>ROUND((L356*0.9*H351+1.3*L356*0.9*J351+R356*G351),4)</f>
        <v>1624.2383</v>
      </c>
      <c r="U356" s="208">
        <f>ROUND((L356*H351+1.3*L356*J351+R356*G351),4)</f>
        <v>1762.6424999999999</v>
      </c>
      <c r="V356" s="208">
        <f>ROUND((K356*I351+1.3*K356*M351+R356*F351),4)</f>
        <v>128.85</v>
      </c>
      <c r="W356" s="208">
        <f>ROUND((L356*0.9*I351+1.3*L356*0.9*M351+R356*F351),4)</f>
        <v>137.733</v>
      </c>
      <c r="X356" s="208">
        <f>ROUND((L356*I351+1.3*L356*M351+R356*F351),4)</f>
        <v>148.83000000000001</v>
      </c>
      <c r="Y356" s="404">
        <f>ROUND((O351*S356*E351*N351/1000000),4)</f>
        <v>0</v>
      </c>
      <c r="Z356" s="404">
        <f>ROUND((P351*T356*E351*N351/1000000),4)</f>
        <v>4.87E-2</v>
      </c>
      <c r="AA356" s="404">
        <f>ROUND((Q351*U356*E351*N351/1000000),4)</f>
        <v>0.10580000000000001</v>
      </c>
      <c r="AB356" s="937" t="s">
        <v>65</v>
      </c>
      <c r="AC356" s="938" t="s">
        <v>66</v>
      </c>
      <c r="AD356" s="939">
        <f>ROUND((((W356*D351)/1800)),4)</f>
        <v>7.6499999999999999E-2</v>
      </c>
      <c r="AE356" s="939">
        <f>ROUND(((Y356+Z356+AA356)),4)</f>
        <v>0.1545</v>
      </c>
      <c r="AF356" s="61"/>
      <c r="AG356" s="61"/>
      <c r="AH356" s="61"/>
      <c r="AI356" s="61"/>
    </row>
    <row r="357" spans="1:35" s="417" customFormat="1" ht="15" customHeight="1" x14ac:dyDescent="0.2">
      <c r="A357" s="559"/>
      <c r="B357" s="402" t="s">
        <v>406</v>
      </c>
      <c r="C357" s="413">
        <v>5</v>
      </c>
      <c r="D357" s="381">
        <v>1</v>
      </c>
      <c r="E357" s="381">
        <v>1</v>
      </c>
      <c r="F357" s="381">
        <v>6</v>
      </c>
      <c r="G357" s="381">
        <v>60</v>
      </c>
      <c r="H357" s="381">
        <f>(8-1-0.75*2)*60*E357-J357-8*0.12*60</f>
        <v>57.900000000000006</v>
      </c>
      <c r="I357" s="381">
        <v>14</v>
      </c>
      <c r="J357" s="381">
        <f>(8-1-0.75*2)*0.65*60*E357</f>
        <v>214.5</v>
      </c>
      <c r="K357" s="208">
        <v>4.01</v>
      </c>
      <c r="L357" s="208">
        <v>4.01</v>
      </c>
      <c r="M357" s="381">
        <v>10</v>
      </c>
      <c r="N357" s="381">
        <f>D357/E357</f>
        <v>1</v>
      </c>
      <c r="O357" s="485">
        <v>0</v>
      </c>
      <c r="P357" s="485">
        <v>30</v>
      </c>
      <c r="Q357" s="483">
        <v>60</v>
      </c>
      <c r="R357" s="403">
        <v>0.78</v>
      </c>
      <c r="S357" s="208">
        <f>ROUND((K357*H357+1.3*K357*J357+R357*G357),4)</f>
        <v>1397.1675</v>
      </c>
      <c r="T357" s="208">
        <f>ROUND((L357*H357+1.3*L357*J357+R357*G357),4)</f>
        <v>1397.1675</v>
      </c>
      <c r="U357" s="208">
        <f>ROUND((L357*H357+1.3*L357*J357+R357*G357),4)</f>
        <v>1397.1675</v>
      </c>
      <c r="V357" s="208">
        <f>ROUND((K357*I357+1.3*K357*M357+R357*F357),4)</f>
        <v>112.95</v>
      </c>
      <c r="W357" s="208">
        <f>ROUND((L357*I357+1.3*L357*M357+R357*F357),4)</f>
        <v>112.95</v>
      </c>
      <c r="X357" s="208">
        <f>ROUND((L357*I357+1.3*L357*M357+R357*F357),4)</f>
        <v>112.95</v>
      </c>
      <c r="Y357" s="404">
        <f>ROUND((O357*S357*E357*N357/1000000),4)</f>
        <v>0</v>
      </c>
      <c r="Z357" s="404">
        <f>ROUND((P357*T357*E357*N357/1000000),4)</f>
        <v>4.19E-2</v>
      </c>
      <c r="AA357" s="404">
        <f>ROUND((Q357*U357*E357*N357/1000000),4)</f>
        <v>8.3799999999999999E-2</v>
      </c>
      <c r="AB357" s="937" t="s">
        <v>48</v>
      </c>
      <c r="AC357" s="938" t="s">
        <v>49</v>
      </c>
      <c r="AD357" s="939">
        <f>ROUND((((W357*D357)/1800)*0.8),4)</f>
        <v>5.0200000000000002E-2</v>
      </c>
      <c r="AE357" s="939">
        <f>ROUND(((Y357+Z357+AA357)*0.8),4)</f>
        <v>0.10059999999999999</v>
      </c>
      <c r="AF357" s="61"/>
      <c r="AG357" s="61"/>
      <c r="AH357" s="61"/>
      <c r="AI357" s="61"/>
    </row>
    <row r="358" spans="1:35" s="417" customFormat="1" ht="15" customHeight="1" x14ac:dyDescent="0.2">
      <c r="A358" s="559"/>
      <c r="B358" s="405" t="s">
        <v>769</v>
      </c>
      <c r="C358" s="414"/>
      <c r="D358" s="400"/>
      <c r="E358" s="400"/>
      <c r="F358" s="400"/>
      <c r="G358" s="400"/>
      <c r="H358" s="400"/>
      <c r="I358" s="400"/>
      <c r="J358" s="400"/>
      <c r="K358" s="401"/>
      <c r="L358" s="401"/>
      <c r="M358" s="400"/>
      <c r="N358" s="400"/>
      <c r="O358" s="400"/>
      <c r="P358" s="400"/>
      <c r="Q358" s="400"/>
      <c r="R358" s="406"/>
      <c r="S358" s="407"/>
      <c r="T358" s="407"/>
      <c r="U358" s="407"/>
      <c r="V358" s="407"/>
      <c r="W358" s="407"/>
      <c r="X358" s="407"/>
      <c r="Y358" s="407"/>
      <c r="Z358" s="407"/>
      <c r="AA358" s="407"/>
      <c r="AB358" s="937" t="s">
        <v>51</v>
      </c>
      <c r="AC358" s="938" t="s">
        <v>52</v>
      </c>
      <c r="AD358" s="939">
        <f>ROUND((((W357*D357)/1800)*0.13),4)</f>
        <v>8.2000000000000007E-3</v>
      </c>
      <c r="AE358" s="939">
        <f>ROUND(((Y357+Z357+AA357)*0.13),4)</f>
        <v>1.6299999999999999E-2</v>
      </c>
      <c r="AF358" s="61"/>
      <c r="AG358" s="61"/>
      <c r="AH358" s="61"/>
      <c r="AI358" s="61"/>
    </row>
    <row r="359" spans="1:35" s="417" customFormat="1" ht="15" customHeight="1" x14ac:dyDescent="0.2">
      <c r="A359" s="559"/>
      <c r="B359" s="400" t="s">
        <v>770</v>
      </c>
      <c r="C359" s="415"/>
      <c r="D359" s="400"/>
      <c r="E359" s="400"/>
      <c r="F359" s="400"/>
      <c r="G359" s="400"/>
      <c r="H359" s="400"/>
      <c r="I359" s="400"/>
      <c r="J359" s="400"/>
      <c r="K359" s="409">
        <v>0.31</v>
      </c>
      <c r="L359" s="409">
        <v>0.38</v>
      </c>
      <c r="M359" s="400"/>
      <c r="N359" s="400"/>
      <c r="O359" s="400"/>
      <c r="P359" s="400"/>
      <c r="Q359" s="400"/>
      <c r="R359" s="410">
        <v>0.16</v>
      </c>
      <c r="S359" s="208">
        <f>ROUND((K359*H357+1.3*K359*J357+R359*G357),4)</f>
        <v>113.99250000000001</v>
      </c>
      <c r="T359" s="208">
        <f>ROUND((L359*0.9*H357+1.3*L359*0.9*J357+R359*G357),4)</f>
        <v>124.7685</v>
      </c>
      <c r="U359" s="208">
        <f>ROUND((L359*H357+1.3*L359*J357+R359*G357),4)</f>
        <v>137.565</v>
      </c>
      <c r="V359" s="208">
        <f>ROUND((K359*I357+1.3*K359*M357+R359*F357),4)</f>
        <v>9.33</v>
      </c>
      <c r="W359" s="208">
        <f>ROUND((L359*0.9*I357+1.3*L359*0.9*M357+R359*F357),4)</f>
        <v>10.194000000000001</v>
      </c>
      <c r="X359" s="208">
        <f>ROUND((L359*I357+1.3*L359*M357+R359*F357),4)</f>
        <v>11.22</v>
      </c>
      <c r="Y359" s="404">
        <f>ROUND((O357*S359*E357*N357/1000000),4)</f>
        <v>0</v>
      </c>
      <c r="Z359" s="404">
        <f>ROUND((P357*T359*E357*N357/1000000),4)</f>
        <v>3.7000000000000002E-3</v>
      </c>
      <c r="AA359" s="404">
        <f>ROUND((Q357*U359*E357*N357/1000000),4)</f>
        <v>8.3000000000000001E-3</v>
      </c>
      <c r="AB359" s="937" t="s">
        <v>56</v>
      </c>
      <c r="AC359" s="938" t="s">
        <v>57</v>
      </c>
      <c r="AD359" s="939">
        <f>ROUND((((W359*D357)/1800)),4)</f>
        <v>5.7000000000000002E-3</v>
      </c>
      <c r="AE359" s="939">
        <f>ROUND(((Y359+Z359+AA359)),5)</f>
        <v>1.2E-2</v>
      </c>
      <c r="AF359" s="61"/>
      <c r="AG359" s="61"/>
      <c r="AH359" s="61"/>
      <c r="AI359" s="61"/>
    </row>
    <row r="360" spans="1:35" s="417" customFormat="1" ht="15" customHeight="1" x14ac:dyDescent="0.2">
      <c r="A360" s="559"/>
      <c r="B360" s="400"/>
      <c r="C360" s="414"/>
      <c r="D360" s="400"/>
      <c r="E360" s="400"/>
      <c r="F360" s="400"/>
      <c r="G360" s="400"/>
      <c r="H360" s="400"/>
      <c r="I360" s="400"/>
      <c r="J360" s="400"/>
      <c r="K360" s="409">
        <v>0.71</v>
      </c>
      <c r="L360" s="409">
        <v>0.85</v>
      </c>
      <c r="M360" s="400"/>
      <c r="N360" s="400"/>
      <c r="O360" s="400"/>
      <c r="P360" s="400"/>
      <c r="Q360" s="400"/>
      <c r="R360" s="412">
        <v>0.49</v>
      </c>
      <c r="S360" s="208">
        <f>ROUND((K360*H357+1.3*K360*J357+R360*G357),4)</f>
        <v>268.49250000000001</v>
      </c>
      <c r="T360" s="208">
        <f>ROUND((L360*0.9*H357+1.3*L360*0.9*J357+R360*G357),4)</f>
        <v>287.0138</v>
      </c>
      <c r="U360" s="208">
        <f>ROUND((L360*H357+1.3*L360*J357+R360*G357),4)</f>
        <v>315.63749999999999</v>
      </c>
      <c r="V360" s="208">
        <f>ROUND((K360*I357+1.3*K360*M357+R360*F357),4)</f>
        <v>22.11</v>
      </c>
      <c r="W360" s="208">
        <f>ROUND((L360*0.9*I357+1.3*L360*0.9*M357+R360*F357),4)</f>
        <v>23.594999999999999</v>
      </c>
      <c r="X360" s="208">
        <f>ROUND((L360*I357+1.3*M357+R360*F357),4)</f>
        <v>27.84</v>
      </c>
      <c r="Y360" s="404">
        <f>ROUND((O357*S360*E357*N357/1000000),4)</f>
        <v>0</v>
      </c>
      <c r="Z360" s="404">
        <f>ROUND((P357*T360*E357*N357/1000000),4)</f>
        <v>8.6E-3</v>
      </c>
      <c r="AA360" s="404">
        <f>ROUND((Q357*U360*E357*N357/1000000),4)</f>
        <v>1.89E-2</v>
      </c>
      <c r="AB360" s="937" t="s">
        <v>177</v>
      </c>
      <c r="AC360" s="938" t="s">
        <v>178</v>
      </c>
      <c r="AD360" s="939">
        <f>ROUND((((W360*D357)/1800)),4)</f>
        <v>1.3100000000000001E-2</v>
      </c>
      <c r="AE360" s="939">
        <f>ROUND(((Y360+Z360+AA360)),4)</f>
        <v>2.75E-2</v>
      </c>
      <c r="AF360" s="61"/>
      <c r="AG360" s="61"/>
      <c r="AH360" s="61"/>
      <c r="AI360" s="61"/>
    </row>
    <row r="361" spans="1:35" s="417" customFormat="1" ht="15" customHeight="1" x14ac:dyDescent="0.2">
      <c r="A361" s="559"/>
      <c r="B361" s="400"/>
      <c r="C361" s="414"/>
      <c r="D361" s="400"/>
      <c r="E361" s="400"/>
      <c r="F361" s="400"/>
      <c r="G361" s="400"/>
      <c r="H361" s="400"/>
      <c r="I361" s="400"/>
      <c r="J361" s="400"/>
      <c r="K361" s="409">
        <v>0.45</v>
      </c>
      <c r="L361" s="409">
        <v>0.67</v>
      </c>
      <c r="M361" s="400"/>
      <c r="N361" s="400"/>
      <c r="O361" s="400"/>
      <c r="P361" s="400"/>
      <c r="Q361" s="400"/>
      <c r="R361" s="412">
        <v>0.1</v>
      </c>
      <c r="S361" s="208">
        <f>ROUND((K361*H357+1.3*K361*J357+R361*G357),4)</f>
        <v>157.53749999999999</v>
      </c>
      <c r="T361" s="208">
        <f>ROUND((L361*0.9*H357+1.3*L361*0.9*J357+R361*G357),4)</f>
        <v>209.06030000000001</v>
      </c>
      <c r="U361" s="208">
        <f>ROUND((L361*H357+1.3*L361*J357+R361*G357),4)</f>
        <v>231.6225</v>
      </c>
      <c r="V361" s="208">
        <f>ROUND((K361*I357+1.3*K361*M357+R361*F357),4)</f>
        <v>12.75</v>
      </c>
      <c r="W361" s="208">
        <f>ROUND((L361*0.9*I357+1.3*L361*0.9*M357+R361*F357),4)</f>
        <v>16.881</v>
      </c>
      <c r="X361" s="208">
        <f>ROUND((L361*I357+1.3*L361*M357+R361*F357),4)</f>
        <v>18.690000000000001</v>
      </c>
      <c r="Y361" s="404">
        <f>ROUND((O357*S361*E357*N357/1000000),4)</f>
        <v>0</v>
      </c>
      <c r="Z361" s="404">
        <f>ROUND((P357*T361*E357*N357/1000000),4)</f>
        <v>6.3E-3</v>
      </c>
      <c r="AA361" s="404">
        <f>ROUND((Q357*U361*E357*N357/1000000),4)</f>
        <v>1.3899999999999999E-2</v>
      </c>
      <c r="AB361" s="937" t="s">
        <v>61</v>
      </c>
      <c r="AC361" s="938" t="s">
        <v>62</v>
      </c>
      <c r="AD361" s="939">
        <f>ROUND((((W361*D357)/1800)),4)</f>
        <v>9.4000000000000004E-3</v>
      </c>
      <c r="AE361" s="939">
        <f>ROUND(((Y361+Z361+AA361)),4)</f>
        <v>2.0199999999999999E-2</v>
      </c>
      <c r="AF361" s="61"/>
      <c r="AG361" s="61"/>
      <c r="AH361" s="61"/>
      <c r="AI361" s="61"/>
    </row>
    <row r="362" spans="1:35" s="417" customFormat="1" ht="15" customHeight="1" x14ac:dyDescent="0.2">
      <c r="A362" s="512"/>
      <c r="B362" s="401"/>
      <c r="C362" s="416"/>
      <c r="D362" s="401"/>
      <c r="E362" s="401"/>
      <c r="F362" s="401"/>
      <c r="G362" s="401"/>
      <c r="H362" s="401"/>
      <c r="I362" s="401"/>
      <c r="J362" s="401"/>
      <c r="K362" s="409">
        <v>2.09</v>
      </c>
      <c r="L362" s="409">
        <v>2.5499999999999998</v>
      </c>
      <c r="M362" s="401"/>
      <c r="N362" s="401"/>
      <c r="O362" s="401"/>
      <c r="P362" s="401"/>
      <c r="Q362" s="401"/>
      <c r="R362" s="412">
        <v>3.91</v>
      </c>
      <c r="S362" s="208">
        <f>ROUND((K362*H357+1.3*K362*J357+R362*G357),4)</f>
        <v>938.40750000000003</v>
      </c>
      <c r="T362" s="208">
        <f>ROUND((L362*0.9*H357+1.3*L362*0.9*J357+R362*G357),4)</f>
        <v>1007.4413</v>
      </c>
      <c r="U362" s="208">
        <f>ROUND((L362*H357+1.3*L362*J357+R362*G357),4)</f>
        <v>1093.3125</v>
      </c>
      <c r="V362" s="208">
        <f>ROUND((K362*I357+1.3*K362*M357+R362*F357),4)</f>
        <v>79.89</v>
      </c>
      <c r="W362" s="208">
        <f>ROUND((L362*0.9*I357+1.3*L362*0.9*M357+R362*F357),4)</f>
        <v>85.424999999999997</v>
      </c>
      <c r="X362" s="208">
        <f>ROUND((L362*I357+1.3*L362*M357+R362*F357),4)</f>
        <v>92.31</v>
      </c>
      <c r="Y362" s="404">
        <f>ROUND((O357*S362*E357*N357/1000000),4)</f>
        <v>0</v>
      </c>
      <c r="Z362" s="404">
        <f>ROUND((P357*T362*E357*N357/1000000),4)</f>
        <v>3.0200000000000001E-2</v>
      </c>
      <c r="AA362" s="404">
        <f>ROUND((Q357*U362*E357*N357/1000000),4)</f>
        <v>6.5600000000000006E-2</v>
      </c>
      <c r="AB362" s="937" t="s">
        <v>65</v>
      </c>
      <c r="AC362" s="938" t="s">
        <v>66</v>
      </c>
      <c r="AD362" s="939">
        <f>ROUND((((W362*D357)/1800)),4)</f>
        <v>4.7500000000000001E-2</v>
      </c>
      <c r="AE362" s="939">
        <f>ROUND(((Y362+Z362+AA362)),4)</f>
        <v>9.5799999999999996E-2</v>
      </c>
      <c r="AF362" s="61"/>
      <c r="AG362" s="61"/>
      <c r="AH362" s="61"/>
      <c r="AI362" s="61"/>
    </row>
    <row r="363" spans="1:35" s="417" customFormat="1" ht="15" customHeight="1" x14ac:dyDescent="0.2">
      <c r="A363" s="1481" t="s">
        <v>772</v>
      </c>
      <c r="B363" s="1482"/>
      <c r="C363" s="1482"/>
      <c r="D363" s="1482"/>
      <c r="E363" s="1482"/>
      <c r="F363" s="1482"/>
      <c r="G363" s="1482"/>
      <c r="H363" s="1482"/>
      <c r="I363" s="1482"/>
      <c r="J363" s="1482"/>
      <c r="K363" s="1482"/>
      <c r="L363" s="1482"/>
      <c r="M363" s="1482"/>
      <c r="N363" s="1482"/>
      <c r="O363" s="1482"/>
      <c r="P363" s="1482"/>
      <c r="Q363" s="1482"/>
      <c r="R363" s="1483"/>
      <c r="AB363" s="934" t="s">
        <v>48</v>
      </c>
      <c r="AC363" s="935" t="s">
        <v>49</v>
      </c>
      <c r="AD363" s="936">
        <f>MAX(AD351,AD357)</f>
        <v>8.1000000000000003E-2</v>
      </c>
      <c r="AE363" s="936">
        <f t="shared" ref="AE363" si="13">AE351+AE357</f>
        <v>0.26290000000000002</v>
      </c>
      <c r="AF363" s="61"/>
      <c r="AG363" s="61"/>
      <c r="AH363" s="61"/>
      <c r="AI363" s="61"/>
    </row>
    <row r="364" spans="1:35" s="417" customFormat="1" ht="15" customHeight="1" x14ac:dyDescent="0.2">
      <c r="A364" s="1484"/>
      <c r="B364" s="1485"/>
      <c r="C364" s="1485"/>
      <c r="D364" s="1485"/>
      <c r="E364" s="1485"/>
      <c r="F364" s="1485"/>
      <c r="G364" s="1485"/>
      <c r="H364" s="1485"/>
      <c r="I364" s="1485"/>
      <c r="J364" s="1485"/>
      <c r="K364" s="1485"/>
      <c r="L364" s="1485"/>
      <c r="M364" s="1485"/>
      <c r="N364" s="1485"/>
      <c r="O364" s="1485"/>
      <c r="P364" s="1485"/>
      <c r="Q364" s="1485"/>
      <c r="R364" s="1486"/>
      <c r="AB364" s="934" t="s">
        <v>51</v>
      </c>
      <c r="AC364" s="935" t="s">
        <v>52</v>
      </c>
      <c r="AD364" s="936">
        <f t="shared" ref="AD364:AD368" si="14">MAX(AD352,AD358)</f>
        <v>1.32E-2</v>
      </c>
      <c r="AE364" s="936">
        <f t="shared" ref="AE364" si="15">AE352+AE358</f>
        <v>4.2700000000000002E-2</v>
      </c>
      <c r="AF364" s="61"/>
      <c r="AG364" s="61"/>
      <c r="AH364" s="61"/>
      <c r="AI364" s="61"/>
    </row>
    <row r="365" spans="1:35" s="417" customFormat="1" ht="15" customHeight="1" x14ac:dyDescent="0.2">
      <c r="A365" s="1484"/>
      <c r="B365" s="1485"/>
      <c r="C365" s="1485"/>
      <c r="D365" s="1485"/>
      <c r="E365" s="1485"/>
      <c r="F365" s="1485"/>
      <c r="G365" s="1485"/>
      <c r="H365" s="1485"/>
      <c r="I365" s="1485"/>
      <c r="J365" s="1485"/>
      <c r="K365" s="1485"/>
      <c r="L365" s="1485"/>
      <c r="M365" s="1485"/>
      <c r="N365" s="1485"/>
      <c r="O365" s="1485"/>
      <c r="P365" s="1485"/>
      <c r="Q365" s="1485"/>
      <c r="R365" s="1486"/>
      <c r="AB365" s="934" t="s">
        <v>56</v>
      </c>
      <c r="AC365" s="935" t="s">
        <v>57</v>
      </c>
      <c r="AD365" s="936">
        <f t="shared" si="14"/>
        <v>9.2999999999999992E-3</v>
      </c>
      <c r="AE365" s="936">
        <f t="shared" ref="AE365" si="16">AE353+AE359</f>
        <v>3.1800000000000002E-2</v>
      </c>
      <c r="AF365" s="61"/>
      <c r="AG365" s="61"/>
      <c r="AH365" s="61"/>
      <c r="AI365" s="61"/>
    </row>
    <row r="366" spans="1:35" s="417" customFormat="1" ht="15" customHeight="1" x14ac:dyDescent="0.2">
      <c r="A366" s="1484"/>
      <c r="B366" s="1485"/>
      <c r="C366" s="1485"/>
      <c r="D366" s="1485"/>
      <c r="E366" s="1485"/>
      <c r="F366" s="1485"/>
      <c r="G366" s="1485"/>
      <c r="H366" s="1485"/>
      <c r="I366" s="1485"/>
      <c r="J366" s="1485"/>
      <c r="K366" s="1485"/>
      <c r="L366" s="1485"/>
      <c r="M366" s="1485"/>
      <c r="N366" s="1485"/>
      <c r="O366" s="1485"/>
      <c r="P366" s="1485"/>
      <c r="Q366" s="1485"/>
      <c r="R366" s="1486"/>
      <c r="AB366" s="934" t="s">
        <v>177</v>
      </c>
      <c r="AC366" s="935" t="s">
        <v>178</v>
      </c>
      <c r="AD366" s="936">
        <f t="shared" si="14"/>
        <v>2.1100000000000001E-2</v>
      </c>
      <c r="AE366" s="936">
        <f t="shared" ref="AE366" si="17">AE354+AE360</f>
        <v>7.1900000000000006E-2</v>
      </c>
      <c r="AF366" s="61"/>
      <c r="AG366" s="61"/>
      <c r="AH366" s="61"/>
      <c r="AI366" s="61"/>
    </row>
    <row r="367" spans="1:35" s="417" customFormat="1" ht="15" customHeight="1" x14ac:dyDescent="0.2">
      <c r="A367" s="1484"/>
      <c r="B367" s="1485"/>
      <c r="C367" s="1485"/>
      <c r="D367" s="1485"/>
      <c r="E367" s="1485"/>
      <c r="F367" s="1485"/>
      <c r="G367" s="1485"/>
      <c r="H367" s="1485"/>
      <c r="I367" s="1485"/>
      <c r="J367" s="1485"/>
      <c r="K367" s="1485"/>
      <c r="L367" s="1485"/>
      <c r="M367" s="1485"/>
      <c r="N367" s="1485"/>
      <c r="O367" s="1485"/>
      <c r="P367" s="1485"/>
      <c r="Q367" s="1485"/>
      <c r="R367" s="1486"/>
      <c r="AB367" s="934" t="s">
        <v>61</v>
      </c>
      <c r="AC367" s="935" t="s">
        <v>62</v>
      </c>
      <c r="AD367" s="936">
        <f t="shared" si="14"/>
        <v>1.5100000000000001E-2</v>
      </c>
      <c r="AE367" s="936">
        <f t="shared" ref="AE367" si="18">AE355+AE361</f>
        <v>5.2699999999999997E-2</v>
      </c>
      <c r="AF367" s="61"/>
      <c r="AG367" s="61"/>
      <c r="AH367" s="61"/>
      <c r="AI367" s="61"/>
    </row>
    <row r="368" spans="1:35" s="417" customFormat="1" ht="15" customHeight="1" x14ac:dyDescent="0.2">
      <c r="A368" s="1487"/>
      <c r="B368" s="1488"/>
      <c r="C368" s="1488"/>
      <c r="D368" s="1488"/>
      <c r="E368" s="1488"/>
      <c r="F368" s="1488"/>
      <c r="G368" s="1488"/>
      <c r="H368" s="1488"/>
      <c r="I368" s="1488"/>
      <c r="J368" s="1488"/>
      <c r="K368" s="1488"/>
      <c r="L368" s="1488"/>
      <c r="M368" s="1488"/>
      <c r="N368" s="1488"/>
      <c r="O368" s="1488"/>
      <c r="P368" s="1488"/>
      <c r="Q368" s="1488"/>
      <c r="R368" s="1489"/>
      <c r="AB368" s="934" t="s">
        <v>65</v>
      </c>
      <c r="AC368" s="935" t="s">
        <v>66</v>
      </c>
      <c r="AD368" s="936">
        <f t="shared" si="14"/>
        <v>7.6499999999999999E-2</v>
      </c>
      <c r="AE368" s="936">
        <f t="shared" ref="AE368" si="19">AE356+AE362</f>
        <v>0.25029999999999997</v>
      </c>
      <c r="AF368" s="61">
        <f>SUM(AD363:AD368)</f>
        <v>0.2162</v>
      </c>
      <c r="AG368" s="61">
        <f>SUM(AE363:AE368)</f>
        <v>0.71230000000000004</v>
      </c>
      <c r="AH368" s="61"/>
      <c r="AI368" s="61"/>
    </row>
    <row r="369" spans="1:35" s="417" customFormat="1" ht="15" customHeight="1" x14ac:dyDescent="0.2">
      <c r="A369" s="1494" t="s">
        <v>147</v>
      </c>
      <c r="B369" s="1495"/>
      <c r="C369" s="1496"/>
      <c r="D369" s="1496"/>
      <c r="E369" s="1496"/>
      <c r="F369" s="1496"/>
      <c r="G369" s="1496"/>
      <c r="H369" s="1496"/>
      <c r="I369" s="1496"/>
      <c r="J369" s="1496"/>
      <c r="K369" s="1496"/>
      <c r="L369" s="1496"/>
      <c r="M369" s="1496"/>
      <c r="N369" s="1496"/>
      <c r="O369" s="1496"/>
      <c r="P369" s="1496"/>
      <c r="Q369" s="1496"/>
      <c r="R369" s="1496"/>
      <c r="S369" s="1496"/>
      <c r="T369" s="1496"/>
      <c r="U369" s="1496"/>
      <c r="V369" s="1496"/>
      <c r="W369" s="1496"/>
      <c r="X369" s="1496"/>
      <c r="Y369" s="1496"/>
      <c r="Z369" s="1496"/>
      <c r="AA369" s="1496"/>
      <c r="AB369" s="1496"/>
      <c r="AC369" s="1496"/>
      <c r="AD369" s="1496"/>
      <c r="AE369" s="1497"/>
      <c r="AF369" s="61">
        <f>SUM(AF178:AF368)</f>
        <v>2.2386000000000013</v>
      </c>
      <c r="AG369" s="61">
        <f>SUM(AG178:AG368)</f>
        <v>5.1030000000000024</v>
      </c>
      <c r="AH369" s="61">
        <v>2029</v>
      </c>
      <c r="AI369" s="61"/>
    </row>
    <row r="370" spans="1:35" s="417" customFormat="1" ht="15" customHeight="1" x14ac:dyDescent="0.2">
      <c r="A370" s="1449" t="s">
        <v>493</v>
      </c>
      <c r="B370" s="1450"/>
      <c r="C370" s="1451"/>
      <c r="D370" s="1451"/>
      <c r="E370" s="1451"/>
      <c r="F370" s="1451"/>
      <c r="G370" s="1451"/>
      <c r="H370" s="1451"/>
      <c r="I370" s="1451"/>
      <c r="J370" s="1451"/>
      <c r="K370" s="1451"/>
      <c r="L370" s="1451"/>
      <c r="M370" s="1451"/>
      <c r="N370" s="1451"/>
      <c r="O370" s="1451"/>
      <c r="P370" s="1451"/>
      <c r="Q370" s="1451"/>
      <c r="R370" s="1451"/>
      <c r="S370" s="1451"/>
      <c r="T370" s="1451"/>
      <c r="U370" s="1451"/>
      <c r="V370" s="1451"/>
      <c r="W370" s="1451"/>
      <c r="X370" s="1451"/>
      <c r="Y370" s="1451"/>
      <c r="Z370" s="1451"/>
      <c r="AA370" s="1451"/>
      <c r="AB370" s="1451"/>
      <c r="AC370" s="1451"/>
      <c r="AD370" s="1451"/>
      <c r="AE370" s="1452"/>
      <c r="AF370" s="61"/>
      <c r="AG370" s="61"/>
      <c r="AH370" s="61"/>
      <c r="AI370" s="61"/>
    </row>
    <row r="371" spans="1:35" s="417" customFormat="1" ht="15" customHeight="1" x14ac:dyDescent="0.2">
      <c r="A371" s="551" t="s">
        <v>467</v>
      </c>
      <c r="B371" s="398" t="s">
        <v>343</v>
      </c>
      <c r="C371" s="212">
        <v>4</v>
      </c>
      <c r="D371" s="170">
        <v>1</v>
      </c>
      <c r="E371" s="170">
        <v>1</v>
      </c>
      <c r="F371" s="170">
        <v>6</v>
      </c>
      <c r="G371" s="170">
        <v>60</v>
      </c>
      <c r="H371" s="170">
        <f>(8-1-0.75*2)*60*E371-J371-8*0.12*60</f>
        <v>57.900000000000006</v>
      </c>
      <c r="I371" s="170">
        <v>14</v>
      </c>
      <c r="J371" s="170">
        <f>(8-1-0.75*2)*0.65*60*E371</f>
        <v>214.5</v>
      </c>
      <c r="K371" s="170">
        <v>2.4700000000000002</v>
      </c>
      <c r="L371" s="170">
        <v>2.4700000000000002</v>
      </c>
      <c r="M371" s="170">
        <v>10</v>
      </c>
      <c r="N371" s="170">
        <f>D371/E371</f>
        <v>1</v>
      </c>
      <c r="O371" s="170">
        <v>180</v>
      </c>
      <c r="P371" s="170">
        <v>90</v>
      </c>
      <c r="Q371" s="211">
        <v>95</v>
      </c>
      <c r="R371" s="170">
        <v>0.48</v>
      </c>
      <c r="S371" s="207">
        <f>ROUND((K371*H371+1.3*K371*J371+R371*G371),4)</f>
        <v>860.57249999999999</v>
      </c>
      <c r="T371" s="207">
        <f>ROUND((L371*H371+1.3*L371*J371+R371*G371),4)</f>
        <v>860.57249999999999</v>
      </c>
      <c r="U371" s="207">
        <f>ROUND((L371*H371+1.3*L371*J371+R371*G371),4)</f>
        <v>860.57249999999999</v>
      </c>
      <c r="V371" s="207">
        <f>ROUND((K371*I371+1.3*K371*M371+R371*F371),4)</f>
        <v>69.569999999999993</v>
      </c>
      <c r="W371" s="207">
        <f>ROUND((L371*I371+1.3*L371*M371+R371*F371),4)</f>
        <v>69.569999999999993</v>
      </c>
      <c r="X371" s="207">
        <f>ROUND((L371*I371+1.3*L371*M371+R371*F371),4)</f>
        <v>69.569999999999993</v>
      </c>
      <c r="Y371" s="385">
        <f>ROUND((O371*S371*E371*N371/1000000),4)</f>
        <v>0.15490000000000001</v>
      </c>
      <c r="Z371" s="385">
        <f>ROUND((P371*T371*E371*N371/1000000),4)</f>
        <v>7.7499999999999999E-2</v>
      </c>
      <c r="AA371" s="385">
        <f>ROUND((Q371*U371*E371*N371/1000000),4)</f>
        <v>8.1799999999999998E-2</v>
      </c>
      <c r="AB371" s="931" t="s">
        <v>48</v>
      </c>
      <c r="AC371" s="932" t="s">
        <v>49</v>
      </c>
      <c r="AD371" s="933">
        <f>ROUND((((W371*D371)/1800)*0.8),4)</f>
        <v>3.09E-2</v>
      </c>
      <c r="AE371" s="933">
        <f>ROUND(((Y371+Z371+AA371)*0.8),4)</f>
        <v>0.25140000000000001</v>
      </c>
      <c r="AF371" s="61"/>
      <c r="AG371" s="61"/>
      <c r="AH371" s="61"/>
      <c r="AI371" s="61"/>
    </row>
    <row r="372" spans="1:35" s="417" customFormat="1" ht="15" customHeight="1" x14ac:dyDescent="0.2">
      <c r="A372" s="552" t="s">
        <v>492</v>
      </c>
      <c r="B372" s="399" t="s">
        <v>359</v>
      </c>
      <c r="C372" s="387"/>
      <c r="D372" s="209"/>
      <c r="E372" s="209"/>
      <c r="F372" s="209"/>
      <c r="G372" s="209"/>
      <c r="H372" s="209"/>
      <c r="I372" s="209"/>
      <c r="J372" s="209"/>
      <c r="K372" s="209"/>
      <c r="L372" s="209"/>
      <c r="M372" s="209"/>
      <c r="N372" s="209"/>
      <c r="O372" s="209"/>
      <c r="P372" s="209"/>
      <c r="Q372" s="209"/>
      <c r="R372" s="388"/>
      <c r="S372" s="215"/>
      <c r="T372" s="215"/>
      <c r="U372" s="215"/>
      <c r="V372" s="215"/>
      <c r="W372" s="215"/>
      <c r="X372" s="215"/>
      <c r="Y372" s="215"/>
      <c r="Z372" s="215"/>
      <c r="AA372" s="215"/>
      <c r="AB372" s="931" t="s">
        <v>51</v>
      </c>
      <c r="AC372" s="932" t="s">
        <v>52</v>
      </c>
      <c r="AD372" s="933">
        <f>ROUND((((W371*D371)/1800)*0.13),4)</f>
        <v>5.0000000000000001E-3</v>
      </c>
      <c r="AE372" s="933">
        <f>ROUND(((Y371+Z371+AA371)*0.13),4)</f>
        <v>4.0800000000000003E-2</v>
      </c>
      <c r="AF372" s="61"/>
      <c r="AG372" s="61"/>
      <c r="AH372" s="61"/>
      <c r="AI372" s="61"/>
    </row>
    <row r="373" spans="1:35" s="417" customFormat="1" ht="15" customHeight="1" x14ac:dyDescent="0.2">
      <c r="A373" s="558"/>
      <c r="B373" s="387" t="s">
        <v>360</v>
      </c>
      <c r="C373" s="389"/>
      <c r="D373" s="209"/>
      <c r="E373" s="209"/>
      <c r="F373" s="209"/>
      <c r="G373" s="209"/>
      <c r="H373" s="209"/>
      <c r="I373" s="209"/>
      <c r="J373" s="209"/>
      <c r="K373" s="209">
        <v>0.19</v>
      </c>
      <c r="L373" s="209">
        <v>0.23</v>
      </c>
      <c r="M373" s="209"/>
      <c r="N373" s="209"/>
      <c r="O373" s="209"/>
      <c r="P373" s="209"/>
      <c r="Q373" s="209"/>
      <c r="R373" s="133">
        <v>9.7000000000000003E-2</v>
      </c>
      <c r="S373" s="207">
        <f>ROUND((K373*H371+1.3*K373*J371+R373*G371),4)</f>
        <v>69.802499999999995</v>
      </c>
      <c r="T373" s="207">
        <f>ROUND((L373*0.9*H371+1.3*L373*0.9*J371+R373*G371),4)</f>
        <v>75.527299999999997</v>
      </c>
      <c r="U373" s="207">
        <f>ROUND((L373*H371+1.3*L373*J371+R373*G371),4)</f>
        <v>83.272499999999994</v>
      </c>
      <c r="V373" s="207">
        <f>ROUND((K373*I371+1.3*K373*M371+R373*F371),4)</f>
        <v>5.7119999999999997</v>
      </c>
      <c r="W373" s="207">
        <f>ROUND((L373*0.9*I371+1.3*L373*0.9*M371+R373*F371),4)</f>
        <v>6.1710000000000003</v>
      </c>
      <c r="X373" s="207">
        <f>ROUND((L373*I371+1.3*L373*M371+R373*F371),4)</f>
        <v>6.7919999999999998</v>
      </c>
      <c r="Y373" s="385">
        <f>ROUND((O371*S373*E371*N371/1000000),4)</f>
        <v>1.26E-2</v>
      </c>
      <c r="Z373" s="385">
        <f>ROUND((P371*T373*E371*N371/1000000),4)</f>
        <v>6.7999999999999996E-3</v>
      </c>
      <c r="AA373" s="385">
        <f>ROUND((Q371*U373*E371*N371/1000000),4)</f>
        <v>7.9000000000000008E-3</v>
      </c>
      <c r="AB373" s="931" t="s">
        <v>56</v>
      </c>
      <c r="AC373" s="932" t="s">
        <v>57</v>
      </c>
      <c r="AD373" s="933">
        <f>ROUND((((W373*D371)/1800)),4)</f>
        <v>3.3999999999999998E-3</v>
      </c>
      <c r="AE373" s="933">
        <f>ROUND(((Y373+Z373+AA373)),5)</f>
        <v>2.7300000000000001E-2</v>
      </c>
      <c r="AF373" s="61"/>
      <c r="AG373" s="61"/>
      <c r="AH373" s="61"/>
      <c r="AI373" s="61"/>
    </row>
    <row r="374" spans="1:35" s="417" customFormat="1" ht="15" customHeight="1" x14ac:dyDescent="0.2">
      <c r="A374" s="558"/>
      <c r="B374" s="387"/>
      <c r="C374" s="387"/>
      <c r="D374" s="209"/>
      <c r="E374" s="209"/>
      <c r="F374" s="209"/>
      <c r="G374" s="209"/>
      <c r="H374" s="209"/>
      <c r="I374" s="209"/>
      <c r="J374" s="209"/>
      <c r="K374" s="209">
        <v>0.43</v>
      </c>
      <c r="L374" s="209">
        <v>0.51</v>
      </c>
      <c r="M374" s="209"/>
      <c r="N374" s="209"/>
      <c r="O374" s="209"/>
      <c r="P374" s="209"/>
      <c r="Q374" s="209"/>
      <c r="R374" s="133">
        <v>0.3</v>
      </c>
      <c r="S374" s="207">
        <f>ROUND((K374*H371+1.3*K374*J371+R374*G371),4)</f>
        <v>162.80250000000001</v>
      </c>
      <c r="T374" s="207">
        <f>ROUND((L374*0.9*H371+1.3*L374*0.9*J371+R374*G371),4)</f>
        <v>172.56829999999999</v>
      </c>
      <c r="U374" s="207">
        <f>ROUND((L374*H371+1.3*L374*J371+R374*G371),4)</f>
        <v>189.74250000000001</v>
      </c>
      <c r="V374" s="207">
        <f>ROUND((K374*I371+1.3*K374*M371+R374*F371),4)</f>
        <v>13.41</v>
      </c>
      <c r="W374" s="207">
        <f>ROUND((L374*0.9*I371+1.3*L374*0.9*M371+R374*F371),4)</f>
        <v>14.193</v>
      </c>
      <c r="X374" s="207">
        <f>ROUND((L374*I371+1.3*M371+R374*F371),4)</f>
        <v>21.94</v>
      </c>
      <c r="Y374" s="385">
        <f>ROUND((O371*S374*E371*N371/1000000),4)</f>
        <v>2.93E-2</v>
      </c>
      <c r="Z374" s="385">
        <f>ROUND((P371*T374*E371*N371/1000000),4)</f>
        <v>1.55E-2</v>
      </c>
      <c r="AA374" s="385">
        <f>ROUND((Q371*U374*E371*N371/1000000),4)</f>
        <v>1.7999999999999999E-2</v>
      </c>
      <c r="AB374" s="931" t="s">
        <v>177</v>
      </c>
      <c r="AC374" s="932" t="s">
        <v>178</v>
      </c>
      <c r="AD374" s="933">
        <f>ROUND((((W374*D371)/1800)),4)</f>
        <v>7.9000000000000008E-3</v>
      </c>
      <c r="AE374" s="933">
        <f>ROUND(((Y374+Z374+AA374)),4)</f>
        <v>6.2799999999999995E-2</v>
      </c>
      <c r="AF374" s="61"/>
      <c r="AG374" s="61"/>
      <c r="AH374" s="61"/>
      <c r="AI374" s="61"/>
    </row>
    <row r="375" spans="1:35" s="417" customFormat="1" ht="15" customHeight="1" x14ac:dyDescent="0.2">
      <c r="A375" s="558"/>
      <c r="B375" s="387"/>
      <c r="C375" s="387"/>
      <c r="D375" s="209"/>
      <c r="E375" s="209"/>
      <c r="F375" s="209"/>
      <c r="G375" s="209"/>
      <c r="H375" s="209"/>
      <c r="I375" s="209"/>
      <c r="J375" s="209"/>
      <c r="K375" s="209">
        <v>0.27</v>
      </c>
      <c r="L375" s="209">
        <v>0.41</v>
      </c>
      <c r="M375" s="209"/>
      <c r="N375" s="209"/>
      <c r="O375" s="209"/>
      <c r="P375" s="209"/>
      <c r="Q375" s="209"/>
      <c r="R375" s="133">
        <v>0.06</v>
      </c>
      <c r="S375" s="207">
        <f>ROUND((K375*H371+1.3*K375*J371+R375*G371),4)</f>
        <v>94.522499999999994</v>
      </c>
      <c r="T375" s="207">
        <f>ROUND((L375*0.9*H371+1.3*L375*0.9*J371+R375*G371),4)</f>
        <v>127.8608</v>
      </c>
      <c r="U375" s="207">
        <f>ROUND((L375*H371+1.3*L375*J371+R375*G371),4)</f>
        <v>141.66749999999999</v>
      </c>
      <c r="V375" s="207">
        <f>ROUND((K375*I371+1.3*K375*M371+R375*F371),4)</f>
        <v>7.65</v>
      </c>
      <c r="W375" s="207">
        <f>ROUND((L375*0.9*I371+1.3*L375*0.9*M371+R375*F371),4)</f>
        <v>10.323</v>
      </c>
      <c r="X375" s="207">
        <f>ROUND((L375*I371+1.3*L375*M371+R375*F371),4)</f>
        <v>11.43</v>
      </c>
      <c r="Y375" s="385">
        <f>ROUND((O371*S375*E371*N371/1000000),4)</f>
        <v>1.7000000000000001E-2</v>
      </c>
      <c r="Z375" s="385">
        <f>ROUND((P371*T375*E371*N371/1000000),4)</f>
        <v>1.15E-2</v>
      </c>
      <c r="AA375" s="385">
        <f>ROUND((Q371*U375*E371*N371/1000000),4)</f>
        <v>1.35E-2</v>
      </c>
      <c r="AB375" s="931" t="s">
        <v>61</v>
      </c>
      <c r="AC375" s="932" t="s">
        <v>62</v>
      </c>
      <c r="AD375" s="933">
        <f>ROUND((((W375*D371)/1800)),4)</f>
        <v>5.7000000000000002E-3</v>
      </c>
      <c r="AE375" s="933">
        <f>ROUND(((Y375+Z375+AA375)),4)</f>
        <v>4.2000000000000003E-2</v>
      </c>
      <c r="AF375" s="61"/>
      <c r="AG375" s="61"/>
      <c r="AH375" s="61"/>
      <c r="AI375" s="61"/>
    </row>
    <row r="376" spans="1:35" s="417" customFormat="1" ht="15" customHeight="1" x14ac:dyDescent="0.2">
      <c r="A376" s="563"/>
      <c r="B376" s="214"/>
      <c r="C376" s="214"/>
      <c r="D376" s="210"/>
      <c r="E376" s="210"/>
      <c r="F376" s="210"/>
      <c r="G376" s="210"/>
      <c r="H376" s="210"/>
      <c r="I376" s="210"/>
      <c r="J376" s="210"/>
      <c r="K376" s="210">
        <v>1.29</v>
      </c>
      <c r="L376" s="210">
        <v>1.57</v>
      </c>
      <c r="M376" s="210"/>
      <c r="N376" s="210"/>
      <c r="O376" s="210"/>
      <c r="P376" s="210"/>
      <c r="Q376" s="210"/>
      <c r="R376" s="133">
        <v>2.4</v>
      </c>
      <c r="S376" s="134">
        <f>ROUND((K376*H371+1.3*K376*J371+R376*G371),4)</f>
        <v>578.40750000000003</v>
      </c>
      <c r="T376" s="134">
        <f>ROUND((L376*0.9*H371+1.3*L376*0.9*J371+R376*G371),4)</f>
        <v>619.82780000000002</v>
      </c>
      <c r="U376" s="134">
        <f>ROUND((L376*H371+1.3*L376*J371+R376*G371),4)</f>
        <v>672.69749999999999</v>
      </c>
      <c r="V376" s="134">
        <f>ROUND((K376*I371+1.3*K376*M371+R376*F371),4)</f>
        <v>49.23</v>
      </c>
      <c r="W376" s="134">
        <f>ROUND((L376*0.9*I371+1.3*L376*0.9*M371+R376*F371),4)</f>
        <v>52.551000000000002</v>
      </c>
      <c r="X376" s="134">
        <f>ROUND((L376*I371+1.3*L376*M371+R376*F371),4)</f>
        <v>56.79</v>
      </c>
      <c r="Y376" s="394">
        <f>ROUND((O371*S376*E371*N371/1000000),4)</f>
        <v>0.1041</v>
      </c>
      <c r="Z376" s="394">
        <f>ROUND((P371*T376*E371*N371/1000000),4)</f>
        <v>5.5800000000000002E-2</v>
      </c>
      <c r="AA376" s="394">
        <f>ROUND((Q371*U376*E371*N371/1000000),4)</f>
        <v>6.3899999999999998E-2</v>
      </c>
      <c r="AB376" s="931" t="s">
        <v>65</v>
      </c>
      <c r="AC376" s="932" t="s">
        <v>66</v>
      </c>
      <c r="AD376" s="933">
        <f>ROUND((((W376*D371)/1800)),4)</f>
        <v>2.92E-2</v>
      </c>
      <c r="AE376" s="933">
        <f>ROUND(((Y376+Z376+AA376)),4)</f>
        <v>0.2238</v>
      </c>
      <c r="AF376" s="61">
        <f>SUM(AD371:AD376)</f>
        <v>8.2100000000000006E-2</v>
      </c>
      <c r="AG376" s="61">
        <f>SUM(AE371:AE376)</f>
        <v>0.6480999999999999</v>
      </c>
      <c r="AH376" s="61"/>
      <c r="AI376" s="61"/>
    </row>
    <row r="377" spans="1:35" s="417" customFormat="1" ht="15" customHeight="1" x14ac:dyDescent="0.2">
      <c r="A377" s="1449" t="s">
        <v>494</v>
      </c>
      <c r="B377" s="1450"/>
      <c r="C377" s="1451"/>
      <c r="D377" s="1451"/>
      <c r="E377" s="1451"/>
      <c r="F377" s="1451"/>
      <c r="G377" s="1451"/>
      <c r="H377" s="1451"/>
      <c r="I377" s="1451"/>
      <c r="J377" s="1451"/>
      <c r="K377" s="1451"/>
      <c r="L377" s="1451"/>
      <c r="M377" s="1451"/>
      <c r="N377" s="1451"/>
      <c r="O377" s="1451"/>
      <c r="P377" s="1451"/>
      <c r="Q377" s="1451"/>
      <c r="R377" s="1451"/>
      <c r="S377" s="1451"/>
      <c r="T377" s="1451"/>
      <c r="U377" s="1451"/>
      <c r="V377" s="1451"/>
      <c r="W377" s="1451"/>
      <c r="X377" s="1451"/>
      <c r="Y377" s="1451"/>
      <c r="Z377" s="1451"/>
      <c r="AA377" s="1451"/>
      <c r="AB377" s="1451"/>
      <c r="AC377" s="1451"/>
      <c r="AD377" s="1451"/>
      <c r="AE377" s="1452"/>
      <c r="AF377" s="61"/>
      <c r="AG377" s="61"/>
      <c r="AH377" s="61"/>
      <c r="AI377" s="61"/>
    </row>
    <row r="378" spans="1:35" s="417" customFormat="1" ht="15" customHeight="1" x14ac:dyDescent="0.2">
      <c r="A378" s="551" t="s">
        <v>470</v>
      </c>
      <c r="B378" s="398" t="s">
        <v>343</v>
      </c>
      <c r="C378" s="212">
        <v>4</v>
      </c>
      <c r="D378" s="170">
        <v>1</v>
      </c>
      <c r="E378" s="170">
        <v>1</v>
      </c>
      <c r="F378" s="170">
        <v>6</v>
      </c>
      <c r="G378" s="170">
        <v>60</v>
      </c>
      <c r="H378" s="170">
        <f>(8-1-0.75*2)*60*E378-J378-8*0.12*60</f>
        <v>57.900000000000006</v>
      </c>
      <c r="I378" s="170">
        <v>14</v>
      </c>
      <c r="J378" s="170">
        <f>(8-1-0.75*2)*0.65*60*E378</f>
        <v>214.5</v>
      </c>
      <c r="K378" s="170">
        <v>2.4700000000000002</v>
      </c>
      <c r="L378" s="170">
        <v>2.4700000000000002</v>
      </c>
      <c r="M378" s="170">
        <v>10</v>
      </c>
      <c r="N378" s="170">
        <f>D378/E378</f>
        <v>1</v>
      </c>
      <c r="O378" s="170">
        <v>180</v>
      </c>
      <c r="P378" s="170">
        <v>90</v>
      </c>
      <c r="Q378" s="211">
        <v>95</v>
      </c>
      <c r="R378" s="170">
        <v>0.48</v>
      </c>
      <c r="S378" s="207">
        <f>ROUND((K378*H378+1.3*K378*J378+R378*G378),4)</f>
        <v>860.57249999999999</v>
      </c>
      <c r="T378" s="207">
        <f>ROUND((L378*H378+1.3*L378*J378+R378*G378),4)</f>
        <v>860.57249999999999</v>
      </c>
      <c r="U378" s="207">
        <f>ROUND((L378*H378+1.3*L378*J378+R378*G378),4)</f>
        <v>860.57249999999999</v>
      </c>
      <c r="V378" s="207">
        <f>ROUND((K378*I378+1.3*K378*M378+R378*F378),4)</f>
        <v>69.569999999999993</v>
      </c>
      <c r="W378" s="207">
        <f>ROUND((L378*I378+1.3*L378*M378+R378*F378),4)</f>
        <v>69.569999999999993</v>
      </c>
      <c r="X378" s="207">
        <f>ROUND((L378*I378+1.3*L378*M378+R378*F378),4)</f>
        <v>69.569999999999993</v>
      </c>
      <c r="Y378" s="385">
        <f>ROUND((O378*S378*E378*N378/1000000),4)</f>
        <v>0.15490000000000001</v>
      </c>
      <c r="Z378" s="385">
        <f>ROUND((P378*T378*E378*N378/1000000),4)</f>
        <v>7.7499999999999999E-2</v>
      </c>
      <c r="AA378" s="385">
        <f>ROUND((Q378*U378*E378*N378/1000000),4)</f>
        <v>8.1799999999999998E-2</v>
      </c>
      <c r="AB378" s="931" t="s">
        <v>48</v>
      </c>
      <c r="AC378" s="932" t="s">
        <v>49</v>
      </c>
      <c r="AD378" s="933">
        <f>ROUND((((W378*D378)/1800)*0.8),4)</f>
        <v>3.09E-2</v>
      </c>
      <c r="AE378" s="933">
        <f>ROUND(((Y378+Z378+AA378)*0.8),4)</f>
        <v>0.25140000000000001</v>
      </c>
      <c r="AF378" s="61"/>
      <c r="AG378" s="61"/>
      <c r="AH378" s="61"/>
      <c r="AI378" s="61"/>
    </row>
    <row r="379" spans="1:35" s="417" customFormat="1" ht="15" customHeight="1" x14ac:dyDescent="0.2">
      <c r="A379" s="552" t="s">
        <v>492</v>
      </c>
      <c r="B379" s="399" t="s">
        <v>359</v>
      </c>
      <c r="C379" s="387"/>
      <c r="D379" s="209"/>
      <c r="E379" s="209"/>
      <c r="F379" s="209"/>
      <c r="G379" s="209"/>
      <c r="H379" s="209"/>
      <c r="I379" s="209"/>
      <c r="J379" s="209"/>
      <c r="K379" s="209"/>
      <c r="L379" s="209"/>
      <c r="M379" s="209"/>
      <c r="N379" s="209"/>
      <c r="O379" s="209"/>
      <c r="P379" s="209"/>
      <c r="Q379" s="209"/>
      <c r="R379" s="388"/>
      <c r="S379" s="215"/>
      <c r="T379" s="215"/>
      <c r="U379" s="215"/>
      <c r="V379" s="215"/>
      <c r="W379" s="215"/>
      <c r="X379" s="215"/>
      <c r="Y379" s="215"/>
      <c r="Z379" s="215"/>
      <c r="AA379" s="215"/>
      <c r="AB379" s="931" t="s">
        <v>51</v>
      </c>
      <c r="AC379" s="932" t="s">
        <v>52</v>
      </c>
      <c r="AD379" s="933">
        <f>ROUND((((W378*D378)/1800)*0.13),4)</f>
        <v>5.0000000000000001E-3</v>
      </c>
      <c r="AE379" s="933">
        <f>ROUND(((Y378+Z378+AA378)*0.13),4)</f>
        <v>4.0800000000000003E-2</v>
      </c>
      <c r="AF379" s="61"/>
      <c r="AG379" s="61"/>
      <c r="AH379" s="61"/>
      <c r="AI379" s="61"/>
    </row>
    <row r="380" spans="1:35" s="417" customFormat="1" ht="15" customHeight="1" x14ac:dyDescent="0.2">
      <c r="A380" s="558"/>
      <c r="B380" s="387" t="s">
        <v>360</v>
      </c>
      <c r="C380" s="389"/>
      <c r="D380" s="209"/>
      <c r="E380" s="209"/>
      <c r="F380" s="209"/>
      <c r="G380" s="209"/>
      <c r="H380" s="209"/>
      <c r="I380" s="209"/>
      <c r="J380" s="209"/>
      <c r="K380" s="209">
        <v>0.19</v>
      </c>
      <c r="L380" s="209">
        <v>0.23</v>
      </c>
      <c r="M380" s="209"/>
      <c r="N380" s="209"/>
      <c r="O380" s="209"/>
      <c r="P380" s="209"/>
      <c r="Q380" s="209"/>
      <c r="R380" s="133">
        <v>9.7000000000000003E-2</v>
      </c>
      <c r="S380" s="207">
        <f>ROUND((K380*H378+1.3*K380*J378+R380*G378),4)</f>
        <v>69.802499999999995</v>
      </c>
      <c r="T380" s="207">
        <f>ROUND((L380*0.9*H378+1.3*L380*0.9*J378+R380*G378),4)</f>
        <v>75.527299999999997</v>
      </c>
      <c r="U380" s="207">
        <f>ROUND((L380*H378+1.3*L380*J378+R380*G378),4)</f>
        <v>83.272499999999994</v>
      </c>
      <c r="V380" s="207">
        <f>ROUND((K380*I378+1.3*K380*M378+R380*F378),4)</f>
        <v>5.7119999999999997</v>
      </c>
      <c r="W380" s="207">
        <f>ROUND((L380*0.9*I378+1.3*L380*0.9*M378+R380*F378),4)</f>
        <v>6.1710000000000003</v>
      </c>
      <c r="X380" s="207">
        <f>ROUND((L380*I378+1.3*L380*M378+R380*F378),4)</f>
        <v>6.7919999999999998</v>
      </c>
      <c r="Y380" s="385">
        <f>ROUND((O378*S380*E378*N378/1000000),4)</f>
        <v>1.26E-2</v>
      </c>
      <c r="Z380" s="385">
        <f>ROUND((P378*T380*E378*N378/1000000),4)</f>
        <v>6.7999999999999996E-3</v>
      </c>
      <c r="AA380" s="385">
        <f>ROUND((Q378*U380*E378*N378/1000000),4)</f>
        <v>7.9000000000000008E-3</v>
      </c>
      <c r="AB380" s="931" t="s">
        <v>56</v>
      </c>
      <c r="AC380" s="932" t="s">
        <v>57</v>
      </c>
      <c r="AD380" s="933">
        <f>ROUND((((W380*D378)/1800)),4)</f>
        <v>3.3999999999999998E-3</v>
      </c>
      <c r="AE380" s="933">
        <f>ROUND(((Y380+Z380+AA380)),5)</f>
        <v>2.7300000000000001E-2</v>
      </c>
      <c r="AF380" s="61"/>
      <c r="AG380" s="61"/>
      <c r="AH380" s="61"/>
      <c r="AI380" s="61"/>
    </row>
    <row r="381" spans="1:35" s="417" customFormat="1" ht="15" customHeight="1" x14ac:dyDescent="0.2">
      <c r="A381" s="558"/>
      <c r="B381" s="387"/>
      <c r="C381" s="387"/>
      <c r="D381" s="209"/>
      <c r="E381" s="209"/>
      <c r="F381" s="209"/>
      <c r="G381" s="209"/>
      <c r="H381" s="209"/>
      <c r="I381" s="209"/>
      <c r="J381" s="209"/>
      <c r="K381" s="209">
        <v>0.43</v>
      </c>
      <c r="L381" s="209">
        <v>0.51</v>
      </c>
      <c r="M381" s="209"/>
      <c r="N381" s="209"/>
      <c r="O381" s="209"/>
      <c r="P381" s="209"/>
      <c r="Q381" s="209"/>
      <c r="R381" s="133">
        <v>0.3</v>
      </c>
      <c r="S381" s="207">
        <f>ROUND((K381*H378+1.3*K381*J378+R381*G378),4)</f>
        <v>162.80250000000001</v>
      </c>
      <c r="T381" s="207">
        <f>ROUND((L381*0.9*H378+1.3*L381*0.9*J378+R381*G378),4)</f>
        <v>172.56829999999999</v>
      </c>
      <c r="U381" s="207">
        <f>ROUND((L381*H378+1.3*L381*J378+R381*G378),4)</f>
        <v>189.74250000000001</v>
      </c>
      <c r="V381" s="207">
        <f>ROUND((K381*I378+1.3*K381*M378+R381*F378),4)</f>
        <v>13.41</v>
      </c>
      <c r="W381" s="207">
        <f>ROUND((L381*0.9*I378+1.3*L381*0.9*M378+R381*F378),4)</f>
        <v>14.193</v>
      </c>
      <c r="X381" s="207">
        <f>ROUND((L381*I378+1.3*M378+R381*F378),4)</f>
        <v>21.94</v>
      </c>
      <c r="Y381" s="385">
        <f>ROUND((O378*S381*E378*N378/1000000),4)</f>
        <v>2.93E-2</v>
      </c>
      <c r="Z381" s="385">
        <f>ROUND((P378*T381*E378*N378/1000000),4)</f>
        <v>1.55E-2</v>
      </c>
      <c r="AA381" s="385">
        <f>ROUND((Q378*U381*E378*N378/1000000),4)</f>
        <v>1.7999999999999999E-2</v>
      </c>
      <c r="AB381" s="931" t="s">
        <v>177</v>
      </c>
      <c r="AC381" s="932" t="s">
        <v>178</v>
      </c>
      <c r="AD381" s="933">
        <f>ROUND((((W381*D378)/1800)),4)</f>
        <v>7.9000000000000008E-3</v>
      </c>
      <c r="AE381" s="933">
        <f>ROUND(((Y381+Z381+AA381)),4)</f>
        <v>6.2799999999999995E-2</v>
      </c>
      <c r="AF381" s="61"/>
      <c r="AG381" s="61"/>
      <c r="AH381" s="61"/>
      <c r="AI381" s="61"/>
    </row>
    <row r="382" spans="1:35" s="417" customFormat="1" ht="15" customHeight="1" x14ac:dyDescent="0.2">
      <c r="A382" s="558"/>
      <c r="B382" s="387"/>
      <c r="C382" s="387"/>
      <c r="D382" s="209"/>
      <c r="E382" s="209"/>
      <c r="F382" s="209"/>
      <c r="G382" s="209"/>
      <c r="H382" s="209"/>
      <c r="I382" s="209"/>
      <c r="J382" s="209"/>
      <c r="K382" s="209">
        <v>0.27</v>
      </c>
      <c r="L382" s="209">
        <v>0.41</v>
      </c>
      <c r="M382" s="209"/>
      <c r="N382" s="209"/>
      <c r="O382" s="209"/>
      <c r="P382" s="209"/>
      <c r="Q382" s="209"/>
      <c r="R382" s="133">
        <v>0.06</v>
      </c>
      <c r="S382" s="207">
        <f>ROUND((K382*H378+1.3*K382*J378+R382*G378),4)</f>
        <v>94.522499999999994</v>
      </c>
      <c r="T382" s="207">
        <f>ROUND((L382*0.9*H378+1.3*L382*0.9*J378+R382*G378),4)</f>
        <v>127.8608</v>
      </c>
      <c r="U382" s="207">
        <f>ROUND((L382*H378+1.3*L382*J378+R382*G378),4)</f>
        <v>141.66749999999999</v>
      </c>
      <c r="V382" s="207">
        <f>ROUND((K382*I378+1.3*K382*M378+R382*F378),4)</f>
        <v>7.65</v>
      </c>
      <c r="W382" s="207">
        <f>ROUND((L382*0.9*I378+1.3*L382*0.9*M378+R382*F378),4)</f>
        <v>10.323</v>
      </c>
      <c r="X382" s="207">
        <f>ROUND((L382*I378+1.3*L382*M378+R382*F378),4)</f>
        <v>11.43</v>
      </c>
      <c r="Y382" s="385">
        <f>ROUND((O378*S382*E378*N378/1000000),4)</f>
        <v>1.7000000000000001E-2</v>
      </c>
      <c r="Z382" s="385">
        <f>ROUND((P378*T382*E378*N378/1000000),4)</f>
        <v>1.15E-2</v>
      </c>
      <c r="AA382" s="385">
        <f>ROUND((Q378*U382*E378*N378/1000000),4)</f>
        <v>1.35E-2</v>
      </c>
      <c r="AB382" s="931" t="s">
        <v>61</v>
      </c>
      <c r="AC382" s="932" t="s">
        <v>62</v>
      </c>
      <c r="AD382" s="933">
        <f>ROUND((((W382*D378)/1800)),4)</f>
        <v>5.7000000000000002E-3</v>
      </c>
      <c r="AE382" s="933">
        <f>ROUND(((Y382+Z382+AA382)),4)</f>
        <v>4.2000000000000003E-2</v>
      </c>
      <c r="AF382" s="61"/>
      <c r="AG382" s="61"/>
      <c r="AH382" s="61"/>
      <c r="AI382" s="61"/>
    </row>
    <row r="383" spans="1:35" s="417" customFormat="1" ht="15" customHeight="1" x14ac:dyDescent="0.2">
      <c r="A383" s="563"/>
      <c r="B383" s="214"/>
      <c r="C383" s="214"/>
      <c r="D383" s="210"/>
      <c r="E383" s="210"/>
      <c r="F383" s="210"/>
      <c r="G383" s="210"/>
      <c r="H383" s="210"/>
      <c r="I383" s="210"/>
      <c r="J383" s="210"/>
      <c r="K383" s="210">
        <v>1.29</v>
      </c>
      <c r="L383" s="210">
        <v>1.57</v>
      </c>
      <c r="M383" s="210"/>
      <c r="N383" s="210"/>
      <c r="O383" s="210"/>
      <c r="P383" s="210"/>
      <c r="Q383" s="210"/>
      <c r="R383" s="133">
        <v>2.4</v>
      </c>
      <c r="S383" s="134">
        <f>ROUND((K383*H378+1.3*K383*J378+R383*G378),4)</f>
        <v>578.40750000000003</v>
      </c>
      <c r="T383" s="134">
        <f>ROUND((L383*0.9*H378+1.3*L383*0.9*J378+R383*G378),4)</f>
        <v>619.82780000000002</v>
      </c>
      <c r="U383" s="134">
        <f>ROUND((L383*H378+1.3*L383*J378+R383*G378),4)</f>
        <v>672.69749999999999</v>
      </c>
      <c r="V383" s="134">
        <f>ROUND((K383*I378+1.3*K383*M378+R383*F378),4)</f>
        <v>49.23</v>
      </c>
      <c r="W383" s="134">
        <f>ROUND((L383*0.9*I378+1.3*L383*0.9*M378+R383*F378),4)</f>
        <v>52.551000000000002</v>
      </c>
      <c r="X383" s="134">
        <f>ROUND((L383*I378+1.3*L383*M378+R383*F378),4)</f>
        <v>56.79</v>
      </c>
      <c r="Y383" s="394">
        <f>ROUND((O378*S383*E378*N378/1000000),4)</f>
        <v>0.1041</v>
      </c>
      <c r="Z383" s="394">
        <f>ROUND((P378*T383*E378*N378/1000000),4)</f>
        <v>5.5800000000000002E-2</v>
      </c>
      <c r="AA383" s="394">
        <f>ROUND((Q378*U383*E378*N378/1000000),4)</f>
        <v>6.3899999999999998E-2</v>
      </c>
      <c r="AB383" s="931" t="s">
        <v>65</v>
      </c>
      <c r="AC383" s="932" t="s">
        <v>66</v>
      </c>
      <c r="AD383" s="933">
        <f>ROUND((((W383*D378)/1800)),4)</f>
        <v>2.92E-2</v>
      </c>
      <c r="AE383" s="933">
        <f>ROUND(((Y383+Z383+AA383)),4)</f>
        <v>0.2238</v>
      </c>
      <c r="AF383" s="61">
        <f>SUM(AD378:AD383)</f>
        <v>8.2100000000000006E-2</v>
      </c>
      <c r="AG383" s="61">
        <f>SUM(AE378:AE383)</f>
        <v>0.6480999999999999</v>
      </c>
      <c r="AH383" s="61"/>
      <c r="AI383" s="61"/>
    </row>
    <row r="384" spans="1:35" s="417" customFormat="1" ht="15" customHeight="1" x14ac:dyDescent="0.2">
      <c r="A384" s="1449" t="s">
        <v>495</v>
      </c>
      <c r="B384" s="1450"/>
      <c r="C384" s="1451"/>
      <c r="D384" s="1451"/>
      <c r="E384" s="1451"/>
      <c r="F384" s="1451"/>
      <c r="G384" s="1451"/>
      <c r="H384" s="1451"/>
      <c r="I384" s="1451"/>
      <c r="J384" s="1451"/>
      <c r="K384" s="1451"/>
      <c r="L384" s="1451"/>
      <c r="M384" s="1451"/>
      <c r="N384" s="1451"/>
      <c r="O384" s="1451"/>
      <c r="P384" s="1451"/>
      <c r="Q384" s="1451"/>
      <c r="R384" s="1451"/>
      <c r="S384" s="1451"/>
      <c r="T384" s="1451"/>
      <c r="U384" s="1451"/>
      <c r="V384" s="1451"/>
      <c r="W384" s="1451"/>
      <c r="X384" s="1451"/>
      <c r="Y384" s="1451"/>
      <c r="Z384" s="1451"/>
      <c r="AA384" s="1451"/>
      <c r="AB384" s="1451"/>
      <c r="AC384" s="1451"/>
      <c r="AD384" s="1451"/>
      <c r="AE384" s="1452"/>
      <c r="AF384" s="61"/>
      <c r="AG384" s="61"/>
      <c r="AH384" s="61"/>
      <c r="AI384" s="61"/>
    </row>
    <row r="385" spans="1:37" s="417" customFormat="1" ht="15" customHeight="1" x14ac:dyDescent="0.2">
      <c r="A385" s="551" t="s">
        <v>472</v>
      </c>
      <c r="B385" s="398" t="s">
        <v>343</v>
      </c>
      <c r="C385" s="212">
        <v>4</v>
      </c>
      <c r="D385" s="170">
        <v>1</v>
      </c>
      <c r="E385" s="170">
        <v>1</v>
      </c>
      <c r="F385" s="170">
        <v>6</v>
      </c>
      <c r="G385" s="170">
        <v>60</v>
      </c>
      <c r="H385" s="170">
        <f>(8-1-0.75*2)*60*E385-J385-8*0.12*60</f>
        <v>57.900000000000006</v>
      </c>
      <c r="I385" s="170">
        <v>14</v>
      </c>
      <c r="J385" s="170">
        <f>(8-1-0.75*2)*0.65*60*E385</f>
        <v>214.5</v>
      </c>
      <c r="K385" s="170">
        <v>2.4700000000000002</v>
      </c>
      <c r="L385" s="170">
        <v>2.4700000000000002</v>
      </c>
      <c r="M385" s="170">
        <v>10</v>
      </c>
      <c r="N385" s="170">
        <f>D385/E385</f>
        <v>1</v>
      </c>
      <c r="O385" s="170">
        <v>180</v>
      </c>
      <c r="P385" s="170">
        <v>90</v>
      </c>
      <c r="Q385" s="211">
        <v>95</v>
      </c>
      <c r="R385" s="170">
        <v>0.48</v>
      </c>
      <c r="S385" s="207">
        <f>ROUND((K385*H385+1.3*K385*J385+R385*G385),4)</f>
        <v>860.57249999999999</v>
      </c>
      <c r="T385" s="207">
        <f>ROUND((L385*H385+1.3*L385*J385+R385*G385),4)</f>
        <v>860.57249999999999</v>
      </c>
      <c r="U385" s="207">
        <f>ROUND((L385*H385+1.3*L385*J385+R385*G385),4)</f>
        <v>860.57249999999999</v>
      </c>
      <c r="V385" s="207">
        <f>ROUND((K385*I385+1.3*K385*M385+R385*F385),4)</f>
        <v>69.569999999999993</v>
      </c>
      <c r="W385" s="207">
        <f>ROUND((L385*I385+1.3*L385*M385+R385*F385),4)</f>
        <v>69.569999999999993</v>
      </c>
      <c r="X385" s="207">
        <f>ROUND((L385*I385+1.3*L385*M385+R385*F385),4)</f>
        <v>69.569999999999993</v>
      </c>
      <c r="Y385" s="385">
        <f>ROUND((O385*S385*E385*N385/1000000),4)</f>
        <v>0.15490000000000001</v>
      </c>
      <c r="Z385" s="385">
        <f>ROUND((P385*T385*E385*N385/1000000),4)</f>
        <v>7.7499999999999999E-2</v>
      </c>
      <c r="AA385" s="385">
        <f>ROUND((Q385*U385*E385*N385/1000000),4)</f>
        <v>8.1799999999999998E-2</v>
      </c>
      <c r="AB385" s="931" t="s">
        <v>48</v>
      </c>
      <c r="AC385" s="932" t="s">
        <v>49</v>
      </c>
      <c r="AD385" s="933">
        <f>ROUND((((W385*D385)/1800)*0.8),4)</f>
        <v>3.09E-2</v>
      </c>
      <c r="AE385" s="933">
        <f>ROUND(((Y385+Z385+AA385)*0.8),4)</f>
        <v>0.25140000000000001</v>
      </c>
      <c r="AF385" s="61"/>
      <c r="AG385" s="61"/>
      <c r="AH385" s="61"/>
      <c r="AI385" s="61"/>
    </row>
    <row r="386" spans="1:37" s="417" customFormat="1" ht="15" customHeight="1" x14ac:dyDescent="0.2">
      <c r="A386" s="552" t="s">
        <v>492</v>
      </c>
      <c r="B386" s="399" t="s">
        <v>359</v>
      </c>
      <c r="C386" s="387"/>
      <c r="D386" s="209"/>
      <c r="E386" s="209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388"/>
      <c r="S386" s="215"/>
      <c r="T386" s="215"/>
      <c r="U386" s="215"/>
      <c r="V386" s="215"/>
      <c r="W386" s="215"/>
      <c r="X386" s="215"/>
      <c r="Y386" s="215"/>
      <c r="Z386" s="215"/>
      <c r="AA386" s="215"/>
      <c r="AB386" s="931" t="s">
        <v>51</v>
      </c>
      <c r="AC386" s="932" t="s">
        <v>52</v>
      </c>
      <c r="AD386" s="933">
        <f>ROUND((((W385*D385)/1800)*0.13),4)</f>
        <v>5.0000000000000001E-3</v>
      </c>
      <c r="AE386" s="933">
        <f>ROUND(((Y385+Z385+AA385)*0.13),4)</f>
        <v>4.0800000000000003E-2</v>
      </c>
      <c r="AF386" s="61"/>
      <c r="AG386" s="61"/>
      <c r="AH386" s="61"/>
      <c r="AI386" s="61"/>
    </row>
    <row r="387" spans="1:37" s="417" customFormat="1" ht="15" customHeight="1" x14ac:dyDescent="0.2">
      <c r="A387" s="558"/>
      <c r="B387" s="387" t="s">
        <v>360</v>
      </c>
      <c r="C387" s="389"/>
      <c r="D387" s="209"/>
      <c r="E387" s="209"/>
      <c r="F387" s="209"/>
      <c r="G387" s="209"/>
      <c r="H387" s="209"/>
      <c r="I387" s="209"/>
      <c r="J387" s="209"/>
      <c r="K387" s="209">
        <v>0.19</v>
      </c>
      <c r="L387" s="209">
        <v>0.23</v>
      </c>
      <c r="M387" s="209"/>
      <c r="N387" s="209"/>
      <c r="O387" s="209"/>
      <c r="P387" s="209"/>
      <c r="Q387" s="209"/>
      <c r="R387" s="133">
        <v>9.7000000000000003E-2</v>
      </c>
      <c r="S387" s="207">
        <f>ROUND((K387*H385+1.3*K387*J385+R387*G385),4)</f>
        <v>69.802499999999995</v>
      </c>
      <c r="T387" s="207">
        <f>ROUND((L387*0.9*H385+1.3*L387*0.9*J385+R387*G385),4)</f>
        <v>75.527299999999997</v>
      </c>
      <c r="U387" s="207">
        <f>ROUND((L387*H385+1.3*L387*J385+R387*G385),4)</f>
        <v>83.272499999999994</v>
      </c>
      <c r="V387" s="207">
        <f>ROUND((K387*I385+1.3*K387*M385+R387*F385),4)</f>
        <v>5.7119999999999997</v>
      </c>
      <c r="W387" s="207">
        <f>ROUND((L387*0.9*I385+1.3*L387*0.9*M385+R387*F385),4)</f>
        <v>6.1710000000000003</v>
      </c>
      <c r="X387" s="207">
        <f>ROUND((L387*I385+1.3*L387*M385+R387*F385),4)</f>
        <v>6.7919999999999998</v>
      </c>
      <c r="Y387" s="385">
        <f>ROUND((O385*S387*E385*N385/1000000),4)</f>
        <v>1.26E-2</v>
      </c>
      <c r="Z387" s="385">
        <f>ROUND((P385*T387*E385*N385/1000000),4)</f>
        <v>6.7999999999999996E-3</v>
      </c>
      <c r="AA387" s="385">
        <f>ROUND((Q385*U387*E385*N385/1000000),4)</f>
        <v>7.9000000000000008E-3</v>
      </c>
      <c r="AB387" s="931" t="s">
        <v>56</v>
      </c>
      <c r="AC387" s="932" t="s">
        <v>57</v>
      </c>
      <c r="AD387" s="933">
        <f>ROUND((((W387*D385)/1800)),4)</f>
        <v>3.3999999999999998E-3</v>
      </c>
      <c r="AE387" s="933">
        <f>ROUND(((Y387+Z387+AA387)),5)</f>
        <v>2.7300000000000001E-2</v>
      </c>
      <c r="AF387" s="61"/>
      <c r="AG387" s="61"/>
      <c r="AH387" s="61"/>
      <c r="AI387" s="61"/>
    </row>
    <row r="388" spans="1:37" s="417" customFormat="1" ht="15" customHeight="1" x14ac:dyDescent="0.2">
      <c r="A388" s="558"/>
      <c r="B388" s="387"/>
      <c r="C388" s="387"/>
      <c r="D388" s="209"/>
      <c r="E388" s="209"/>
      <c r="F388" s="209"/>
      <c r="G388" s="209"/>
      <c r="H388" s="209"/>
      <c r="I388" s="209"/>
      <c r="J388" s="209"/>
      <c r="K388" s="209">
        <v>0.43</v>
      </c>
      <c r="L388" s="209">
        <v>0.51</v>
      </c>
      <c r="M388" s="209"/>
      <c r="N388" s="209"/>
      <c r="O388" s="209"/>
      <c r="P388" s="209"/>
      <c r="Q388" s="209"/>
      <c r="R388" s="133">
        <v>0.3</v>
      </c>
      <c r="S388" s="207">
        <f>ROUND((K388*H385+1.3*K388*J385+R388*G385),4)</f>
        <v>162.80250000000001</v>
      </c>
      <c r="T388" s="207">
        <f>ROUND((L388*0.9*H385+1.3*L388*0.9*J385+R388*G385),4)</f>
        <v>172.56829999999999</v>
      </c>
      <c r="U388" s="207">
        <f>ROUND((L388*H385+1.3*L388*J385+R388*G385),4)</f>
        <v>189.74250000000001</v>
      </c>
      <c r="V388" s="207">
        <f>ROUND((K388*I385+1.3*K388*M385+R388*F385),4)</f>
        <v>13.41</v>
      </c>
      <c r="W388" s="207">
        <f>ROUND((L388*0.9*I385+1.3*L388*0.9*M385+R388*F385),4)</f>
        <v>14.193</v>
      </c>
      <c r="X388" s="207">
        <f>ROUND((L388*I385+1.3*M385+R388*F385),4)</f>
        <v>21.94</v>
      </c>
      <c r="Y388" s="385">
        <f>ROUND((O385*S388*E385*N385/1000000),4)</f>
        <v>2.93E-2</v>
      </c>
      <c r="Z388" s="385">
        <f>ROUND((P385*T388*E385*N385/1000000),4)</f>
        <v>1.55E-2</v>
      </c>
      <c r="AA388" s="385">
        <f>ROUND((Q385*U388*E385*N385/1000000),4)</f>
        <v>1.7999999999999999E-2</v>
      </c>
      <c r="AB388" s="931" t="s">
        <v>177</v>
      </c>
      <c r="AC388" s="932" t="s">
        <v>178</v>
      </c>
      <c r="AD388" s="933">
        <f>ROUND((((W388*D385)/1800)),4)</f>
        <v>7.9000000000000008E-3</v>
      </c>
      <c r="AE388" s="933">
        <f>ROUND(((Y388+Z388+AA388)),4)</f>
        <v>6.2799999999999995E-2</v>
      </c>
      <c r="AF388" s="61"/>
      <c r="AG388" s="61"/>
      <c r="AH388" s="61"/>
      <c r="AI388" s="61"/>
    </row>
    <row r="389" spans="1:37" s="417" customFormat="1" ht="15" customHeight="1" x14ac:dyDescent="0.2">
      <c r="A389" s="558"/>
      <c r="B389" s="387"/>
      <c r="C389" s="387"/>
      <c r="D389" s="209"/>
      <c r="E389" s="209"/>
      <c r="F389" s="209"/>
      <c r="G389" s="209"/>
      <c r="H389" s="209"/>
      <c r="I389" s="209"/>
      <c r="J389" s="209"/>
      <c r="K389" s="209">
        <v>0.27</v>
      </c>
      <c r="L389" s="209">
        <v>0.41</v>
      </c>
      <c r="M389" s="209"/>
      <c r="N389" s="209"/>
      <c r="O389" s="209"/>
      <c r="P389" s="209"/>
      <c r="Q389" s="209"/>
      <c r="R389" s="133">
        <v>0.06</v>
      </c>
      <c r="S389" s="207">
        <f>ROUND((K389*H385+1.3*K389*J385+R389*G385),4)</f>
        <v>94.522499999999994</v>
      </c>
      <c r="T389" s="207">
        <f>ROUND((L389*0.9*H385+1.3*L389*0.9*J385+R389*G385),4)</f>
        <v>127.8608</v>
      </c>
      <c r="U389" s="207">
        <f>ROUND((L389*H385+1.3*L389*J385+R389*G385),4)</f>
        <v>141.66749999999999</v>
      </c>
      <c r="V389" s="207">
        <f>ROUND((K389*I385+1.3*K389*M385+R389*F385),4)</f>
        <v>7.65</v>
      </c>
      <c r="W389" s="207">
        <f>ROUND((L389*0.9*I385+1.3*L389*0.9*M385+R389*F385),4)</f>
        <v>10.323</v>
      </c>
      <c r="X389" s="207">
        <f>ROUND((L389*I385+1.3*L389*M385+R389*F385),4)</f>
        <v>11.43</v>
      </c>
      <c r="Y389" s="385">
        <f>ROUND((O385*S389*E385*N385/1000000),4)</f>
        <v>1.7000000000000001E-2</v>
      </c>
      <c r="Z389" s="385">
        <f>ROUND((P385*T389*E385*N385/1000000),4)</f>
        <v>1.15E-2</v>
      </c>
      <c r="AA389" s="385">
        <f>ROUND((Q385*U389*E385*N385/1000000),4)</f>
        <v>1.35E-2</v>
      </c>
      <c r="AB389" s="931" t="s">
        <v>61</v>
      </c>
      <c r="AC389" s="932" t="s">
        <v>62</v>
      </c>
      <c r="AD389" s="933">
        <f>ROUND((((W389*D385)/1800)),4)</f>
        <v>5.7000000000000002E-3</v>
      </c>
      <c r="AE389" s="933">
        <f>ROUND(((Y389+Z389+AA389)),4)</f>
        <v>4.2000000000000003E-2</v>
      </c>
      <c r="AF389" s="61"/>
      <c r="AG389" s="61"/>
      <c r="AH389" s="61"/>
      <c r="AI389" s="61"/>
    </row>
    <row r="390" spans="1:37" s="417" customFormat="1" ht="15" customHeight="1" x14ac:dyDescent="0.2">
      <c r="A390" s="563"/>
      <c r="B390" s="214"/>
      <c r="C390" s="214"/>
      <c r="D390" s="210"/>
      <c r="E390" s="210"/>
      <c r="F390" s="210"/>
      <c r="G390" s="210"/>
      <c r="H390" s="210"/>
      <c r="I390" s="210"/>
      <c r="J390" s="210"/>
      <c r="K390" s="210">
        <v>1.29</v>
      </c>
      <c r="L390" s="210">
        <v>1.57</v>
      </c>
      <c r="M390" s="210"/>
      <c r="N390" s="210"/>
      <c r="O390" s="210"/>
      <c r="P390" s="210"/>
      <c r="Q390" s="210"/>
      <c r="R390" s="133">
        <v>2.4</v>
      </c>
      <c r="S390" s="134">
        <f>ROUND((K390*H385+1.3*K390*J385+R390*G385),4)</f>
        <v>578.40750000000003</v>
      </c>
      <c r="T390" s="134">
        <f>ROUND((L390*0.9*H385+1.3*L390*0.9*J385+R390*G385),4)</f>
        <v>619.82780000000002</v>
      </c>
      <c r="U390" s="134">
        <f>ROUND((L390*H385+1.3*L390*J385+R390*G385),4)</f>
        <v>672.69749999999999</v>
      </c>
      <c r="V390" s="134">
        <f>ROUND((K390*I385+1.3*K390*M385+R390*F385),4)</f>
        <v>49.23</v>
      </c>
      <c r="W390" s="134">
        <f>ROUND((L390*0.9*I385+1.3*L390*0.9*M385+R390*F385),4)</f>
        <v>52.551000000000002</v>
      </c>
      <c r="X390" s="134">
        <f>ROUND((L390*I385+1.3*L390*M385+R390*F385),4)</f>
        <v>56.79</v>
      </c>
      <c r="Y390" s="394">
        <f>ROUND((O385*S390*E385*N385/1000000),4)</f>
        <v>0.1041</v>
      </c>
      <c r="Z390" s="394">
        <f>ROUND((P385*T390*E385*N385/1000000),4)</f>
        <v>5.5800000000000002E-2</v>
      </c>
      <c r="AA390" s="394">
        <f>ROUND((Q385*U390*E385*N385/1000000),4)</f>
        <v>6.3899999999999998E-2</v>
      </c>
      <c r="AB390" s="931" t="s">
        <v>65</v>
      </c>
      <c r="AC390" s="932" t="s">
        <v>66</v>
      </c>
      <c r="AD390" s="933">
        <f>ROUND((((W390*D385)/1800)),4)</f>
        <v>2.92E-2</v>
      </c>
      <c r="AE390" s="933">
        <f>ROUND(((Y390+Z390+AA390)),4)</f>
        <v>0.2238</v>
      </c>
      <c r="AF390" s="61">
        <f>SUM(AD385:AD390)</f>
        <v>8.2100000000000006E-2</v>
      </c>
      <c r="AG390" s="61">
        <f>SUM(AE385:AE390)</f>
        <v>0.6480999999999999</v>
      </c>
      <c r="AH390" s="61"/>
      <c r="AI390" s="61"/>
    </row>
    <row r="391" spans="1:37" s="417" customFormat="1" ht="15" customHeight="1" x14ac:dyDescent="0.2">
      <c r="A391" s="1449" t="s">
        <v>496</v>
      </c>
      <c r="B391" s="1450"/>
      <c r="C391" s="1451"/>
      <c r="D391" s="1451"/>
      <c r="E391" s="1451"/>
      <c r="F391" s="1451"/>
      <c r="G391" s="1451"/>
      <c r="H391" s="1451"/>
      <c r="I391" s="1451"/>
      <c r="J391" s="1451"/>
      <c r="K391" s="1451"/>
      <c r="L391" s="1451"/>
      <c r="M391" s="1451"/>
      <c r="N391" s="1451"/>
      <c r="O391" s="1451"/>
      <c r="P391" s="1451"/>
      <c r="Q391" s="1451"/>
      <c r="R391" s="1451"/>
      <c r="S391" s="1451"/>
      <c r="T391" s="1451"/>
      <c r="U391" s="1451"/>
      <c r="V391" s="1451"/>
      <c r="W391" s="1451"/>
      <c r="X391" s="1451"/>
      <c r="Y391" s="1451"/>
      <c r="Z391" s="1451"/>
      <c r="AA391" s="1451"/>
      <c r="AB391" s="1451"/>
      <c r="AC391" s="1451"/>
      <c r="AD391" s="1451"/>
      <c r="AE391" s="1452"/>
      <c r="AF391" s="61"/>
      <c r="AG391" s="61"/>
      <c r="AH391" s="61"/>
      <c r="AI391" s="61"/>
    </row>
    <row r="392" spans="1:37" s="417" customFormat="1" ht="15" customHeight="1" x14ac:dyDescent="0.2">
      <c r="A392" s="551" t="s">
        <v>475</v>
      </c>
      <c r="B392" s="398" t="s">
        <v>343</v>
      </c>
      <c r="C392" s="212">
        <v>4</v>
      </c>
      <c r="D392" s="170">
        <v>1</v>
      </c>
      <c r="E392" s="170">
        <v>1</v>
      </c>
      <c r="F392" s="170">
        <v>6</v>
      </c>
      <c r="G392" s="170">
        <v>60</v>
      </c>
      <c r="H392" s="170">
        <f>(8-1-0.75*2)*60*E392-J392-8*0.12*60</f>
        <v>57.900000000000006</v>
      </c>
      <c r="I392" s="170">
        <v>14</v>
      </c>
      <c r="J392" s="170">
        <f>(8-1-0.75*2)*0.65*60*E392</f>
        <v>214.5</v>
      </c>
      <c r="K392" s="170">
        <v>2.4700000000000002</v>
      </c>
      <c r="L392" s="170">
        <v>2.4700000000000002</v>
      </c>
      <c r="M392" s="170">
        <v>10</v>
      </c>
      <c r="N392" s="170">
        <f>D392/E392</f>
        <v>1</v>
      </c>
      <c r="O392" s="170">
        <v>180</v>
      </c>
      <c r="P392" s="170">
        <v>90</v>
      </c>
      <c r="Q392" s="211">
        <v>95</v>
      </c>
      <c r="R392" s="170">
        <v>0.48</v>
      </c>
      <c r="S392" s="207">
        <f>ROUND((K392*H392+1.3*K392*J392+R392*G392),4)</f>
        <v>860.57249999999999</v>
      </c>
      <c r="T392" s="207">
        <f>ROUND((L392*H392+1.3*L392*J392+R392*G392),4)</f>
        <v>860.57249999999999</v>
      </c>
      <c r="U392" s="207">
        <f>ROUND((L392*H392+1.3*L392*J392+R392*G392),4)</f>
        <v>860.57249999999999</v>
      </c>
      <c r="V392" s="207">
        <f>ROUND((K392*I392+1.3*K392*M392+R392*F392),4)</f>
        <v>69.569999999999993</v>
      </c>
      <c r="W392" s="207">
        <f>ROUND((L392*I392+1.3*L392*M392+R392*F392),4)</f>
        <v>69.569999999999993</v>
      </c>
      <c r="X392" s="207">
        <f>ROUND((L392*I392+1.3*L392*M392+R392*F392),4)</f>
        <v>69.569999999999993</v>
      </c>
      <c r="Y392" s="385">
        <f>ROUND((O392*S392*E392*N392/1000000),4)</f>
        <v>0.15490000000000001</v>
      </c>
      <c r="Z392" s="385">
        <f>ROUND((P392*T392*E392*N392/1000000),4)</f>
        <v>7.7499999999999999E-2</v>
      </c>
      <c r="AA392" s="385">
        <f>ROUND((Q392*U392*E392*N392/1000000),4)</f>
        <v>8.1799999999999998E-2</v>
      </c>
      <c r="AB392" s="931" t="s">
        <v>48</v>
      </c>
      <c r="AC392" s="932" t="s">
        <v>49</v>
      </c>
      <c r="AD392" s="933">
        <f>ROUND((((W392*D392)/1800)*0.8),4)</f>
        <v>3.09E-2</v>
      </c>
      <c r="AE392" s="933">
        <f>ROUND(((Y392+Z392+AA392)*0.8),4)</f>
        <v>0.25140000000000001</v>
      </c>
      <c r="AF392" s="61"/>
      <c r="AG392" s="61"/>
      <c r="AH392" s="61"/>
      <c r="AI392" s="61"/>
    </row>
    <row r="393" spans="1:37" s="417" customFormat="1" ht="15" customHeight="1" x14ac:dyDescent="0.2">
      <c r="A393" s="552" t="s">
        <v>492</v>
      </c>
      <c r="B393" s="399" t="s">
        <v>359</v>
      </c>
      <c r="C393" s="387"/>
      <c r="D393" s="209"/>
      <c r="E393" s="209"/>
      <c r="F393" s="209"/>
      <c r="G393" s="209"/>
      <c r="H393" s="209"/>
      <c r="I393" s="209"/>
      <c r="J393" s="209"/>
      <c r="K393" s="209"/>
      <c r="L393" s="209"/>
      <c r="M393" s="209"/>
      <c r="N393" s="209"/>
      <c r="O393" s="209"/>
      <c r="P393" s="209"/>
      <c r="Q393" s="209"/>
      <c r="R393" s="388"/>
      <c r="S393" s="215"/>
      <c r="T393" s="215"/>
      <c r="U393" s="215"/>
      <c r="V393" s="215"/>
      <c r="W393" s="215"/>
      <c r="X393" s="215"/>
      <c r="Y393" s="215"/>
      <c r="Z393" s="215"/>
      <c r="AA393" s="215"/>
      <c r="AB393" s="931" t="s">
        <v>51</v>
      </c>
      <c r="AC393" s="932" t="s">
        <v>52</v>
      </c>
      <c r="AD393" s="933">
        <f>ROUND((((W392*D392)/1800)*0.13),4)</f>
        <v>5.0000000000000001E-3</v>
      </c>
      <c r="AE393" s="933">
        <f>ROUND(((Y392+Z392+AA392)*0.13),4)</f>
        <v>4.0800000000000003E-2</v>
      </c>
      <c r="AF393" s="61"/>
      <c r="AG393" s="61"/>
      <c r="AH393" s="61"/>
      <c r="AI393" s="61"/>
    </row>
    <row r="394" spans="1:37" s="417" customFormat="1" ht="15" customHeight="1" x14ac:dyDescent="0.2">
      <c r="A394" s="558"/>
      <c r="B394" s="387" t="s">
        <v>360</v>
      </c>
      <c r="C394" s="389"/>
      <c r="D394" s="209"/>
      <c r="E394" s="209"/>
      <c r="F394" s="209"/>
      <c r="G394" s="209"/>
      <c r="H394" s="209"/>
      <c r="I394" s="209"/>
      <c r="J394" s="209"/>
      <c r="K394" s="209">
        <v>0.19</v>
      </c>
      <c r="L394" s="209">
        <v>0.23</v>
      </c>
      <c r="M394" s="209"/>
      <c r="N394" s="209"/>
      <c r="O394" s="209"/>
      <c r="P394" s="209"/>
      <c r="Q394" s="209"/>
      <c r="R394" s="133">
        <v>9.7000000000000003E-2</v>
      </c>
      <c r="S394" s="207">
        <f>ROUND((K394*H392+1.3*K394*J392+R394*G392),4)</f>
        <v>69.802499999999995</v>
      </c>
      <c r="T394" s="207">
        <f>ROUND((L394*0.9*H392+1.3*L394*0.9*J392+R394*G392),4)</f>
        <v>75.527299999999997</v>
      </c>
      <c r="U394" s="207">
        <f>ROUND((L394*H392+1.3*L394*J392+R394*G392),4)</f>
        <v>83.272499999999994</v>
      </c>
      <c r="V394" s="207">
        <f>ROUND((K394*I392+1.3*K394*M392+R394*F392),4)</f>
        <v>5.7119999999999997</v>
      </c>
      <c r="W394" s="207">
        <f>ROUND((L394*0.9*I392+1.3*L394*0.9*M392+R394*F392),4)</f>
        <v>6.1710000000000003</v>
      </c>
      <c r="X394" s="207">
        <f>ROUND((L394*I392+1.3*L394*M392+R394*F392),4)</f>
        <v>6.7919999999999998</v>
      </c>
      <c r="Y394" s="385">
        <f>ROUND((O392*S394*E392*N392/1000000),4)</f>
        <v>1.26E-2</v>
      </c>
      <c r="Z394" s="385">
        <f>ROUND((P392*T394*E392*N392/1000000),4)</f>
        <v>6.7999999999999996E-3</v>
      </c>
      <c r="AA394" s="385">
        <f>ROUND((Q392*U394*E392*N392/1000000),4)</f>
        <v>7.9000000000000008E-3</v>
      </c>
      <c r="AB394" s="931" t="s">
        <v>56</v>
      </c>
      <c r="AC394" s="932" t="s">
        <v>57</v>
      </c>
      <c r="AD394" s="933">
        <f>ROUND((((W394*D392)/1800)),4)</f>
        <v>3.3999999999999998E-3</v>
      </c>
      <c r="AE394" s="933">
        <f>ROUND(((Y394+Z394+AA394)),5)</f>
        <v>2.7300000000000001E-2</v>
      </c>
      <c r="AF394" s="61"/>
      <c r="AG394" s="61"/>
      <c r="AH394" s="61"/>
      <c r="AI394" s="61"/>
    </row>
    <row r="395" spans="1:37" s="417" customFormat="1" ht="15" customHeight="1" x14ac:dyDescent="0.2">
      <c r="A395" s="558"/>
      <c r="B395" s="387"/>
      <c r="C395" s="387"/>
      <c r="D395" s="209"/>
      <c r="E395" s="209"/>
      <c r="F395" s="209"/>
      <c r="G395" s="209"/>
      <c r="H395" s="209"/>
      <c r="I395" s="209"/>
      <c r="J395" s="209"/>
      <c r="K395" s="209">
        <v>0.43</v>
      </c>
      <c r="L395" s="209">
        <v>0.51</v>
      </c>
      <c r="M395" s="209"/>
      <c r="N395" s="209"/>
      <c r="O395" s="209"/>
      <c r="P395" s="209"/>
      <c r="Q395" s="209"/>
      <c r="R395" s="133">
        <v>0.3</v>
      </c>
      <c r="S395" s="207">
        <f>ROUND((K395*H392+1.3*K395*J392+R395*G392),4)</f>
        <v>162.80250000000001</v>
      </c>
      <c r="T395" s="207">
        <f>ROUND((L395*0.9*H392+1.3*L395*0.9*J392+R395*G392),4)</f>
        <v>172.56829999999999</v>
      </c>
      <c r="U395" s="207">
        <f>ROUND((L395*H392+1.3*L395*J392+R395*G392),4)</f>
        <v>189.74250000000001</v>
      </c>
      <c r="V395" s="207">
        <f>ROUND((K395*I392+1.3*K395*M392+R395*F392),4)</f>
        <v>13.41</v>
      </c>
      <c r="W395" s="207">
        <f>ROUND((L395*0.9*I392+1.3*L395*0.9*M392+R395*F392),4)</f>
        <v>14.193</v>
      </c>
      <c r="X395" s="207">
        <f>ROUND((L395*I392+1.3*M392+R395*F392),4)</f>
        <v>21.94</v>
      </c>
      <c r="Y395" s="385">
        <f>ROUND((O392*S395*E392*N392/1000000),4)</f>
        <v>2.93E-2</v>
      </c>
      <c r="Z395" s="385">
        <f>ROUND((P392*T395*E392*N392/1000000),4)</f>
        <v>1.55E-2</v>
      </c>
      <c r="AA395" s="385">
        <f>ROUND((Q392*U395*E392*N392/1000000),4)</f>
        <v>1.7999999999999999E-2</v>
      </c>
      <c r="AB395" s="931" t="s">
        <v>177</v>
      </c>
      <c r="AC395" s="932" t="s">
        <v>178</v>
      </c>
      <c r="AD395" s="933">
        <f>ROUND((((W395*D392)/1800)),4)</f>
        <v>7.9000000000000008E-3</v>
      </c>
      <c r="AE395" s="933">
        <f>ROUND(((Y395+Z395+AA395)),4)</f>
        <v>6.2799999999999995E-2</v>
      </c>
      <c r="AF395" s="61"/>
      <c r="AG395" s="61"/>
      <c r="AH395" s="61"/>
      <c r="AI395" s="61"/>
    </row>
    <row r="396" spans="1:37" s="417" customFormat="1" ht="15" customHeight="1" x14ac:dyDescent="0.2">
      <c r="A396" s="558"/>
      <c r="B396" s="387"/>
      <c r="C396" s="387"/>
      <c r="D396" s="209"/>
      <c r="E396" s="209"/>
      <c r="F396" s="209"/>
      <c r="G396" s="209"/>
      <c r="H396" s="209"/>
      <c r="I396" s="209"/>
      <c r="J396" s="209"/>
      <c r="K396" s="209">
        <v>0.27</v>
      </c>
      <c r="L396" s="209">
        <v>0.41</v>
      </c>
      <c r="M396" s="209"/>
      <c r="N396" s="209"/>
      <c r="O396" s="209"/>
      <c r="P396" s="209"/>
      <c r="Q396" s="209"/>
      <c r="R396" s="133">
        <v>0.06</v>
      </c>
      <c r="S396" s="207">
        <f>ROUND((K396*H392+1.3*K396*J392+R396*G392),4)</f>
        <v>94.522499999999994</v>
      </c>
      <c r="T396" s="207">
        <f>ROUND((L396*0.9*H392+1.3*L396*0.9*J392+R396*G392),4)</f>
        <v>127.8608</v>
      </c>
      <c r="U396" s="207">
        <f>ROUND((L396*H392+1.3*L396*J392+R396*G392),4)</f>
        <v>141.66749999999999</v>
      </c>
      <c r="V396" s="207">
        <f>ROUND((K396*I392+1.3*K396*M392+R396*F392),4)</f>
        <v>7.65</v>
      </c>
      <c r="W396" s="207">
        <f>ROUND((L396*0.9*I392+1.3*L396*0.9*M392+R396*F392),4)</f>
        <v>10.323</v>
      </c>
      <c r="X396" s="207">
        <f>ROUND((L396*I392+1.3*L396*M392+R396*F392),4)</f>
        <v>11.43</v>
      </c>
      <c r="Y396" s="385">
        <f>ROUND((O392*S396*E392*N392/1000000),4)</f>
        <v>1.7000000000000001E-2</v>
      </c>
      <c r="Z396" s="385">
        <f>ROUND((P392*T396*E392*N392/1000000),4)</f>
        <v>1.15E-2</v>
      </c>
      <c r="AA396" s="385">
        <f>ROUND((Q392*U396*E392*N392/1000000),4)</f>
        <v>1.35E-2</v>
      </c>
      <c r="AB396" s="931" t="s">
        <v>61</v>
      </c>
      <c r="AC396" s="932" t="s">
        <v>62</v>
      </c>
      <c r="AD396" s="933">
        <f>ROUND((((W396*D392)/1800)),4)</f>
        <v>5.7000000000000002E-3</v>
      </c>
      <c r="AE396" s="933">
        <f>ROUND(((Y396+Z396+AA396)),4)</f>
        <v>4.2000000000000003E-2</v>
      </c>
      <c r="AF396" s="61"/>
      <c r="AG396" s="61"/>
      <c r="AH396" s="61"/>
      <c r="AI396" s="61"/>
    </row>
    <row r="397" spans="1:37" s="417" customFormat="1" ht="15" customHeight="1" x14ac:dyDescent="0.2">
      <c r="A397" s="563"/>
      <c r="B397" s="214"/>
      <c r="C397" s="214"/>
      <c r="D397" s="210"/>
      <c r="E397" s="210"/>
      <c r="F397" s="210"/>
      <c r="G397" s="210"/>
      <c r="H397" s="210"/>
      <c r="I397" s="210"/>
      <c r="J397" s="210"/>
      <c r="K397" s="210">
        <v>1.29</v>
      </c>
      <c r="L397" s="210">
        <v>1.57</v>
      </c>
      <c r="M397" s="210"/>
      <c r="N397" s="210"/>
      <c r="O397" s="210"/>
      <c r="P397" s="210"/>
      <c r="Q397" s="210"/>
      <c r="R397" s="133">
        <v>2.4</v>
      </c>
      <c r="S397" s="134">
        <f>ROUND((K397*H392+1.3*K397*J392+R397*G392),4)</f>
        <v>578.40750000000003</v>
      </c>
      <c r="T397" s="134">
        <f>ROUND((L397*0.9*H392+1.3*L397*0.9*J392+R397*G392),4)</f>
        <v>619.82780000000002</v>
      </c>
      <c r="U397" s="134">
        <f>ROUND((L397*H392+1.3*L397*J392+R397*G392),4)</f>
        <v>672.69749999999999</v>
      </c>
      <c r="V397" s="134">
        <f>ROUND((K397*I392+1.3*K397*M392+R397*F392),4)</f>
        <v>49.23</v>
      </c>
      <c r="W397" s="134">
        <f>ROUND((L397*0.9*I392+1.3*L397*0.9*M392+R397*F392),4)</f>
        <v>52.551000000000002</v>
      </c>
      <c r="X397" s="134">
        <f>ROUND((L397*I392+1.3*L397*M392+R397*F392),4)</f>
        <v>56.79</v>
      </c>
      <c r="Y397" s="394">
        <f>ROUND((O392*S397*E392*N392/1000000),4)</f>
        <v>0.1041</v>
      </c>
      <c r="Z397" s="394">
        <f>ROUND((P392*T397*E392*N392/1000000),4)</f>
        <v>5.5800000000000002E-2</v>
      </c>
      <c r="AA397" s="394">
        <f>ROUND((Q392*U397*E392*N392/1000000),4)</f>
        <v>6.3899999999999998E-2</v>
      </c>
      <c r="AB397" s="931" t="s">
        <v>65</v>
      </c>
      <c r="AC397" s="932" t="s">
        <v>66</v>
      </c>
      <c r="AD397" s="933">
        <f>ROUND((((W397*D392)/1800)),4)</f>
        <v>2.92E-2</v>
      </c>
      <c r="AE397" s="933">
        <f>ROUND(((Y397+Z397+AA397)),4)</f>
        <v>0.2238</v>
      </c>
      <c r="AF397" s="61">
        <f>SUM(AD392:AD397)</f>
        <v>8.2100000000000006E-2</v>
      </c>
      <c r="AG397" s="61">
        <f>SUM(AE392:AE397)</f>
        <v>0.6480999999999999</v>
      </c>
      <c r="AH397" s="61"/>
      <c r="AI397" s="61"/>
    </row>
    <row r="398" spans="1:37" s="417" customFormat="1" ht="15" customHeight="1" x14ac:dyDescent="0.2">
      <c r="A398" s="1449" t="s">
        <v>645</v>
      </c>
      <c r="B398" s="1450"/>
      <c r="C398" s="1451"/>
      <c r="D398" s="1451"/>
      <c r="E398" s="1451"/>
      <c r="F398" s="1451"/>
      <c r="G398" s="1451"/>
      <c r="H398" s="1451"/>
      <c r="I398" s="1451"/>
      <c r="J398" s="1451"/>
      <c r="K398" s="1451"/>
      <c r="L398" s="1451"/>
      <c r="M398" s="1451"/>
      <c r="N398" s="1451"/>
      <c r="O398" s="1451"/>
      <c r="P398" s="1451"/>
      <c r="Q398" s="1451"/>
      <c r="R398" s="1451"/>
      <c r="S398" s="1451"/>
      <c r="T398" s="1451"/>
      <c r="U398" s="1451"/>
      <c r="V398" s="1451"/>
      <c r="W398" s="1451"/>
      <c r="X398" s="1451"/>
      <c r="Y398" s="1451"/>
      <c r="Z398" s="1451"/>
      <c r="AA398" s="1451"/>
      <c r="AB398" s="1451"/>
      <c r="AC398" s="1451"/>
      <c r="AD398" s="1451"/>
      <c r="AE398" s="1452"/>
      <c r="AF398" s="61"/>
      <c r="AG398" s="1515"/>
      <c r="AH398" s="1515"/>
      <c r="AI398" s="1515"/>
      <c r="AJ398" s="1515"/>
      <c r="AK398" s="1515"/>
    </row>
    <row r="399" spans="1:37" s="417" customFormat="1" ht="15" customHeight="1" x14ac:dyDescent="0.2">
      <c r="A399" s="551" t="s">
        <v>479</v>
      </c>
      <c r="B399" s="398" t="s">
        <v>343</v>
      </c>
      <c r="C399" s="212">
        <v>4</v>
      </c>
      <c r="D399" s="170">
        <v>1</v>
      </c>
      <c r="E399" s="170">
        <v>1</v>
      </c>
      <c r="F399" s="170">
        <v>6</v>
      </c>
      <c r="G399" s="170">
        <v>60</v>
      </c>
      <c r="H399" s="170">
        <f>(8-1-0.75*2)*60*E399-J399-8*0.12*60</f>
        <v>57.900000000000006</v>
      </c>
      <c r="I399" s="170">
        <v>14</v>
      </c>
      <c r="J399" s="170">
        <f>(8-1-0.75*2)*0.65*60*E399</f>
        <v>214.5</v>
      </c>
      <c r="K399" s="170">
        <v>2.4700000000000002</v>
      </c>
      <c r="L399" s="170">
        <v>2.4700000000000002</v>
      </c>
      <c r="M399" s="170">
        <v>10</v>
      </c>
      <c r="N399" s="170">
        <f>D399/E399</f>
        <v>1</v>
      </c>
      <c r="O399" s="170">
        <v>180</v>
      </c>
      <c r="P399" s="170">
        <v>90</v>
      </c>
      <c r="Q399" s="211">
        <v>95</v>
      </c>
      <c r="R399" s="170">
        <v>0.48</v>
      </c>
      <c r="S399" s="207">
        <f>ROUND((K399*H399+1.3*K399*J399+R399*G399),4)</f>
        <v>860.57249999999999</v>
      </c>
      <c r="T399" s="207">
        <f>ROUND((L399*H399+1.3*L399*J399+R399*G399),4)</f>
        <v>860.57249999999999</v>
      </c>
      <c r="U399" s="207">
        <f>ROUND((L399*H399+1.3*L399*J399+R399*G399),4)</f>
        <v>860.57249999999999</v>
      </c>
      <c r="V399" s="207">
        <f>ROUND((K399*I399+1.3*K399*M399+R399*F399),4)</f>
        <v>69.569999999999993</v>
      </c>
      <c r="W399" s="207">
        <f>ROUND((L399*I399+1.3*L399*M399+R399*F399),4)</f>
        <v>69.569999999999993</v>
      </c>
      <c r="X399" s="207">
        <f>ROUND((L399*I399+1.3*L399*M399+R399*F399),4)</f>
        <v>69.569999999999993</v>
      </c>
      <c r="Y399" s="385">
        <f>ROUND((O399*S399*E399*N399/1000000),4)</f>
        <v>0.15490000000000001</v>
      </c>
      <c r="Z399" s="385">
        <f>ROUND((P399*T399*E399*N399/1000000),4)</f>
        <v>7.7499999999999999E-2</v>
      </c>
      <c r="AA399" s="385">
        <f>ROUND((Q399*U399*E399*N399/1000000),4)</f>
        <v>8.1799999999999998E-2</v>
      </c>
      <c r="AB399" s="931" t="s">
        <v>48</v>
      </c>
      <c r="AC399" s="932" t="s">
        <v>49</v>
      </c>
      <c r="AD399" s="933">
        <f>ROUND((((W399*D399)/1800)*0.8),4)</f>
        <v>3.09E-2</v>
      </c>
      <c r="AE399" s="933">
        <f>ROUND(((Y399+Z399+AA399)*0.8),4)</f>
        <v>0.25140000000000001</v>
      </c>
      <c r="AF399" s="61"/>
      <c r="AG399" s="61"/>
      <c r="AH399" s="61"/>
      <c r="AI399" s="61"/>
    </row>
    <row r="400" spans="1:37" s="417" customFormat="1" ht="15" customHeight="1" x14ac:dyDescent="0.2">
      <c r="A400" s="552"/>
      <c r="B400" s="399" t="s">
        <v>359</v>
      </c>
      <c r="C400" s="387"/>
      <c r="D400" s="209"/>
      <c r="E400" s="209"/>
      <c r="F400" s="209"/>
      <c r="G400" s="209"/>
      <c r="H400" s="209"/>
      <c r="I400" s="209"/>
      <c r="J400" s="209"/>
      <c r="K400" s="209"/>
      <c r="L400" s="209"/>
      <c r="M400" s="209"/>
      <c r="N400" s="209"/>
      <c r="O400" s="209"/>
      <c r="P400" s="209"/>
      <c r="Q400" s="209"/>
      <c r="R400" s="388"/>
      <c r="S400" s="215"/>
      <c r="T400" s="215"/>
      <c r="U400" s="215"/>
      <c r="V400" s="215"/>
      <c r="W400" s="215"/>
      <c r="X400" s="215"/>
      <c r="Y400" s="215"/>
      <c r="Z400" s="215"/>
      <c r="AA400" s="215"/>
      <c r="AB400" s="931" t="s">
        <v>51</v>
      </c>
      <c r="AC400" s="932" t="s">
        <v>52</v>
      </c>
      <c r="AD400" s="933">
        <f>ROUND((((W399*D399)/1800)*0.13),4)</f>
        <v>5.0000000000000001E-3</v>
      </c>
      <c r="AE400" s="933">
        <f>ROUND(((Y399+Z399+AA399)*0.13),4)</f>
        <v>4.0800000000000003E-2</v>
      </c>
      <c r="AF400" s="61"/>
      <c r="AG400" s="61"/>
      <c r="AH400" s="61"/>
      <c r="AI400" s="61"/>
    </row>
    <row r="401" spans="1:37" s="417" customFormat="1" ht="15" customHeight="1" x14ac:dyDescent="0.2">
      <c r="A401" s="558"/>
      <c r="B401" s="387" t="s">
        <v>360</v>
      </c>
      <c r="C401" s="389"/>
      <c r="D401" s="209"/>
      <c r="E401" s="209"/>
      <c r="F401" s="209"/>
      <c r="G401" s="209"/>
      <c r="H401" s="209"/>
      <c r="I401" s="209"/>
      <c r="J401" s="209"/>
      <c r="K401" s="209">
        <v>0.19</v>
      </c>
      <c r="L401" s="209">
        <v>0.23</v>
      </c>
      <c r="M401" s="209"/>
      <c r="N401" s="209"/>
      <c r="O401" s="209"/>
      <c r="P401" s="209"/>
      <c r="Q401" s="209"/>
      <c r="R401" s="133">
        <v>9.7000000000000003E-2</v>
      </c>
      <c r="S401" s="207">
        <f>ROUND((K401*H399+1.3*K401*J399+R401*G399),4)</f>
        <v>69.802499999999995</v>
      </c>
      <c r="T401" s="207">
        <f>ROUND((L401*0.9*H399+1.3*L401*0.9*J399+R401*G399),4)</f>
        <v>75.527299999999997</v>
      </c>
      <c r="U401" s="207">
        <f>ROUND((L401*H399+1.3*L401*J399+R401*G399),4)</f>
        <v>83.272499999999994</v>
      </c>
      <c r="V401" s="207">
        <f>ROUND((K401*I399+1.3*K401*M399+R401*F399),4)</f>
        <v>5.7119999999999997</v>
      </c>
      <c r="W401" s="207">
        <f>ROUND((L401*0.9*I399+1.3*L401*0.9*M399+R401*F399),4)</f>
        <v>6.1710000000000003</v>
      </c>
      <c r="X401" s="207">
        <f>ROUND((L401*I399+1.3*L401*M399+R401*F399),4)</f>
        <v>6.7919999999999998</v>
      </c>
      <c r="Y401" s="385">
        <f>ROUND((O399*S401*E399*N399/1000000),4)</f>
        <v>1.26E-2</v>
      </c>
      <c r="Z401" s="385">
        <f>ROUND((P399*T401*E399*N399/1000000),4)</f>
        <v>6.7999999999999996E-3</v>
      </c>
      <c r="AA401" s="385">
        <f>ROUND((Q399*U401*E399*N399/1000000),4)</f>
        <v>7.9000000000000008E-3</v>
      </c>
      <c r="AB401" s="931" t="s">
        <v>56</v>
      </c>
      <c r="AC401" s="932" t="s">
        <v>57</v>
      </c>
      <c r="AD401" s="933">
        <f>ROUND((((W401*D399)/1800)),4)</f>
        <v>3.3999999999999998E-3</v>
      </c>
      <c r="AE401" s="933">
        <f>ROUND(((Y401+Z401+AA401)),5)</f>
        <v>2.7300000000000001E-2</v>
      </c>
      <c r="AF401" s="61"/>
      <c r="AG401" s="61"/>
      <c r="AH401" s="61"/>
      <c r="AI401" s="61"/>
    </row>
    <row r="402" spans="1:37" s="417" customFormat="1" ht="15" customHeight="1" x14ac:dyDescent="0.2">
      <c r="A402" s="558"/>
      <c r="B402" s="387"/>
      <c r="C402" s="387"/>
      <c r="D402" s="209"/>
      <c r="E402" s="209"/>
      <c r="F402" s="209"/>
      <c r="G402" s="209"/>
      <c r="H402" s="209"/>
      <c r="I402" s="209"/>
      <c r="J402" s="209"/>
      <c r="K402" s="209">
        <v>0.43</v>
      </c>
      <c r="L402" s="209">
        <v>0.51</v>
      </c>
      <c r="M402" s="209"/>
      <c r="N402" s="209"/>
      <c r="O402" s="209"/>
      <c r="P402" s="209"/>
      <c r="Q402" s="209"/>
      <c r="R402" s="133">
        <v>0.3</v>
      </c>
      <c r="S402" s="207">
        <f>ROUND((K402*H399+1.3*K402*J399+R402*G399),4)</f>
        <v>162.80250000000001</v>
      </c>
      <c r="T402" s="207">
        <f>ROUND((L402*0.9*H399+1.3*L402*0.9*J399+R402*G399),4)</f>
        <v>172.56829999999999</v>
      </c>
      <c r="U402" s="207">
        <f>ROUND((L402*H399+1.3*L402*J399+R402*G399),4)</f>
        <v>189.74250000000001</v>
      </c>
      <c r="V402" s="207">
        <f>ROUND((K402*I399+1.3*K402*M399+R402*F399),4)</f>
        <v>13.41</v>
      </c>
      <c r="W402" s="207">
        <f>ROUND((L402*0.9*I399+1.3*L402*0.9*M399+R402*F399),4)</f>
        <v>14.193</v>
      </c>
      <c r="X402" s="207">
        <f>ROUND((L402*I399+1.3*M399+R402*F399),4)</f>
        <v>21.94</v>
      </c>
      <c r="Y402" s="385">
        <f>ROUND((O399*S402*E399*N399/1000000),4)</f>
        <v>2.93E-2</v>
      </c>
      <c r="Z402" s="385">
        <f>ROUND((P399*T402*E399*N399/1000000),4)</f>
        <v>1.55E-2</v>
      </c>
      <c r="AA402" s="385">
        <f>ROUND((Q399*U402*E399*N399/1000000),4)</f>
        <v>1.7999999999999999E-2</v>
      </c>
      <c r="AB402" s="931" t="s">
        <v>177</v>
      </c>
      <c r="AC402" s="932" t="s">
        <v>178</v>
      </c>
      <c r="AD402" s="933">
        <f>ROUND((((W402*D399)/1800)),4)</f>
        <v>7.9000000000000008E-3</v>
      </c>
      <c r="AE402" s="933">
        <f>ROUND(((Y402+Z402+AA402)),4)</f>
        <v>6.2799999999999995E-2</v>
      </c>
      <c r="AF402" s="61"/>
      <c r="AG402" s="61"/>
      <c r="AH402" s="61"/>
      <c r="AI402" s="61"/>
    </row>
    <row r="403" spans="1:37" s="417" customFormat="1" ht="15" customHeight="1" x14ac:dyDescent="0.2">
      <c r="A403" s="558"/>
      <c r="B403" s="387"/>
      <c r="C403" s="387"/>
      <c r="D403" s="209"/>
      <c r="E403" s="209"/>
      <c r="F403" s="209"/>
      <c r="G403" s="209"/>
      <c r="H403" s="209"/>
      <c r="I403" s="209"/>
      <c r="J403" s="209"/>
      <c r="K403" s="209">
        <v>0.27</v>
      </c>
      <c r="L403" s="209">
        <v>0.41</v>
      </c>
      <c r="M403" s="209"/>
      <c r="N403" s="209"/>
      <c r="O403" s="209"/>
      <c r="P403" s="209"/>
      <c r="Q403" s="209"/>
      <c r="R403" s="133">
        <v>0.06</v>
      </c>
      <c r="S403" s="207">
        <f>ROUND((K403*H399+1.3*K403*J399+R403*G399),4)</f>
        <v>94.522499999999994</v>
      </c>
      <c r="T403" s="207">
        <f>ROUND((L403*0.9*H399+1.3*L403*0.9*J399+R403*G399),4)</f>
        <v>127.8608</v>
      </c>
      <c r="U403" s="207">
        <f>ROUND((L403*H399+1.3*L403*J399+R403*G399),4)</f>
        <v>141.66749999999999</v>
      </c>
      <c r="V403" s="207">
        <f>ROUND((K403*I399+1.3*K403*M399+R403*F399),4)</f>
        <v>7.65</v>
      </c>
      <c r="W403" s="207">
        <f>ROUND((L403*0.9*I399+1.3*L403*0.9*M399+R403*F399),4)</f>
        <v>10.323</v>
      </c>
      <c r="X403" s="207">
        <f>ROUND((L403*I399+1.3*L403*M399+R403*F399),4)</f>
        <v>11.43</v>
      </c>
      <c r="Y403" s="385">
        <f>ROUND((O399*S403*E399*N399/1000000),4)</f>
        <v>1.7000000000000001E-2</v>
      </c>
      <c r="Z403" s="385">
        <f>ROUND((P399*T403*E399*N399/1000000),4)</f>
        <v>1.15E-2</v>
      </c>
      <c r="AA403" s="385">
        <f>ROUND((Q399*U403*E399*N399/1000000),4)</f>
        <v>1.35E-2</v>
      </c>
      <c r="AB403" s="931" t="s">
        <v>61</v>
      </c>
      <c r="AC403" s="932" t="s">
        <v>62</v>
      </c>
      <c r="AD403" s="933">
        <f>ROUND((((W403*D399)/1800)),4)</f>
        <v>5.7000000000000002E-3</v>
      </c>
      <c r="AE403" s="933">
        <f>ROUND(((Y403+Z403+AA403)),4)</f>
        <v>4.2000000000000003E-2</v>
      </c>
      <c r="AF403" s="61"/>
      <c r="AG403" s="61"/>
      <c r="AH403" s="61"/>
      <c r="AI403" s="61"/>
    </row>
    <row r="404" spans="1:37" s="417" customFormat="1" ht="15" customHeight="1" x14ac:dyDescent="0.2">
      <c r="A404" s="563"/>
      <c r="B404" s="214"/>
      <c r="C404" s="214"/>
      <c r="D404" s="210"/>
      <c r="E404" s="210"/>
      <c r="F404" s="210"/>
      <c r="G404" s="210"/>
      <c r="H404" s="210"/>
      <c r="I404" s="210"/>
      <c r="J404" s="210"/>
      <c r="K404" s="210">
        <v>1.29</v>
      </c>
      <c r="L404" s="210">
        <v>1.57</v>
      </c>
      <c r="M404" s="210"/>
      <c r="N404" s="210"/>
      <c r="O404" s="210"/>
      <c r="P404" s="210"/>
      <c r="Q404" s="210"/>
      <c r="R404" s="133">
        <v>2.4</v>
      </c>
      <c r="S404" s="134">
        <f>ROUND((K404*H399+1.3*K404*J399+R404*G399),4)</f>
        <v>578.40750000000003</v>
      </c>
      <c r="T404" s="134">
        <f>ROUND((L404*0.9*H399+1.3*L404*0.9*J399+R404*G399),4)</f>
        <v>619.82780000000002</v>
      </c>
      <c r="U404" s="134">
        <f>ROUND((L404*H399+1.3*L404*J399+R404*G399),4)</f>
        <v>672.69749999999999</v>
      </c>
      <c r="V404" s="134">
        <f>ROUND((K404*I399+1.3*K404*M399+R404*F399),4)</f>
        <v>49.23</v>
      </c>
      <c r="W404" s="134">
        <f>ROUND((L404*0.9*I399+1.3*L404*0.9*M399+R404*F399),4)</f>
        <v>52.551000000000002</v>
      </c>
      <c r="X404" s="134">
        <f>ROUND((L404*I399+1.3*L404*M399+R404*F399),4)</f>
        <v>56.79</v>
      </c>
      <c r="Y404" s="394">
        <f>ROUND((O399*S404*E399*N399/1000000),4)</f>
        <v>0.1041</v>
      </c>
      <c r="Z404" s="394">
        <f>ROUND((P399*T404*E399*N399/1000000),4)</f>
        <v>5.5800000000000002E-2</v>
      </c>
      <c r="AA404" s="394">
        <f>ROUND((Q399*U404*E399*N399/1000000),4)</f>
        <v>6.3899999999999998E-2</v>
      </c>
      <c r="AB404" s="931" t="s">
        <v>65</v>
      </c>
      <c r="AC404" s="932" t="s">
        <v>66</v>
      </c>
      <c r="AD404" s="933">
        <f>ROUND((((W404*D399)/1800)),4)</f>
        <v>2.92E-2</v>
      </c>
      <c r="AE404" s="933">
        <f>ROUND(((Y404+Z404+AA404)),4)</f>
        <v>0.2238</v>
      </c>
      <c r="AF404" s="61">
        <f>SUM(AD399:AD404)</f>
        <v>8.2100000000000006E-2</v>
      </c>
      <c r="AG404" s="61">
        <f>SUM(AE399:AE404)</f>
        <v>0.6480999999999999</v>
      </c>
      <c r="AH404" s="61"/>
      <c r="AI404" s="61"/>
    </row>
    <row r="405" spans="1:37" s="417" customFormat="1" ht="15" customHeight="1" x14ac:dyDescent="0.2">
      <c r="A405" s="1449" t="s">
        <v>646</v>
      </c>
      <c r="B405" s="1450"/>
      <c r="C405" s="1451"/>
      <c r="D405" s="1451"/>
      <c r="E405" s="1451"/>
      <c r="F405" s="1451"/>
      <c r="G405" s="1451"/>
      <c r="H405" s="1451"/>
      <c r="I405" s="1451"/>
      <c r="J405" s="1451"/>
      <c r="K405" s="1451"/>
      <c r="L405" s="1451"/>
      <c r="M405" s="1451"/>
      <c r="N405" s="1451"/>
      <c r="O405" s="1451"/>
      <c r="P405" s="1451"/>
      <c r="Q405" s="1451"/>
      <c r="R405" s="1451"/>
      <c r="S405" s="1451"/>
      <c r="T405" s="1451"/>
      <c r="U405" s="1451"/>
      <c r="V405" s="1451"/>
      <c r="W405" s="1451"/>
      <c r="X405" s="1451"/>
      <c r="Y405" s="1451"/>
      <c r="Z405" s="1451"/>
      <c r="AA405" s="1451"/>
      <c r="AB405" s="1451"/>
      <c r="AC405" s="1451"/>
      <c r="AD405" s="1451"/>
      <c r="AE405" s="1452"/>
      <c r="AF405" s="61"/>
      <c r="AG405" s="1515"/>
      <c r="AH405" s="1515"/>
      <c r="AI405" s="1515"/>
      <c r="AJ405" s="1515"/>
      <c r="AK405" s="1515"/>
    </row>
    <row r="406" spans="1:37" s="417" customFormat="1" ht="15" customHeight="1" x14ac:dyDescent="0.2">
      <c r="A406" s="551" t="s">
        <v>481</v>
      </c>
      <c r="B406" s="398" t="s">
        <v>343</v>
      </c>
      <c r="C406" s="212">
        <v>4</v>
      </c>
      <c r="D406" s="170">
        <v>1</v>
      </c>
      <c r="E406" s="170">
        <v>1</v>
      </c>
      <c r="F406" s="170">
        <v>6</v>
      </c>
      <c r="G406" s="170">
        <v>60</v>
      </c>
      <c r="H406" s="170">
        <f>(8-1-0.75*2)*60*E406-J406-8*0.12*60</f>
        <v>57.900000000000006</v>
      </c>
      <c r="I406" s="170">
        <v>14</v>
      </c>
      <c r="J406" s="170">
        <f>(8-1-0.75*2)*0.65*60*E406</f>
        <v>214.5</v>
      </c>
      <c r="K406" s="170">
        <v>2.4700000000000002</v>
      </c>
      <c r="L406" s="170">
        <v>2.4700000000000002</v>
      </c>
      <c r="M406" s="170">
        <v>10</v>
      </c>
      <c r="N406" s="170">
        <f>D406/E406</f>
        <v>1</v>
      </c>
      <c r="O406" s="170">
        <v>173</v>
      </c>
      <c r="P406" s="170">
        <v>0</v>
      </c>
      <c r="Q406" s="211">
        <v>0</v>
      </c>
      <c r="R406" s="170">
        <v>0.48</v>
      </c>
      <c r="S406" s="207">
        <f>ROUND((K406*H406+1.3*K406*J406+R406*G406),4)</f>
        <v>860.57249999999999</v>
      </c>
      <c r="T406" s="207">
        <f>ROUND((L406*H406+1.3*L406*J406+R406*G406),4)</f>
        <v>860.57249999999999</v>
      </c>
      <c r="U406" s="207">
        <f>ROUND((L406*H406+1.3*L406*J406+R406*G406),4)</f>
        <v>860.57249999999999</v>
      </c>
      <c r="V406" s="207">
        <f>ROUND((K406*I406+1.3*K406*M406+R406*F406),4)</f>
        <v>69.569999999999993</v>
      </c>
      <c r="W406" s="207">
        <f>ROUND((L406*I406+1.3*L406*M406+R406*F406),4)</f>
        <v>69.569999999999993</v>
      </c>
      <c r="X406" s="207">
        <f>ROUND((L406*I406+1.3*L406*M406+R406*F406),4)</f>
        <v>69.569999999999993</v>
      </c>
      <c r="Y406" s="385">
        <f>ROUND((O406*S406*E406*N406/1000000),4)</f>
        <v>0.1489</v>
      </c>
      <c r="Z406" s="385">
        <f>ROUND((P406*T406*E406*N406/1000000),4)</f>
        <v>0</v>
      </c>
      <c r="AA406" s="385">
        <f>ROUND((Q406*U406*E406*N406/1000000),4)</f>
        <v>0</v>
      </c>
      <c r="AB406" s="931" t="s">
        <v>48</v>
      </c>
      <c r="AC406" s="932" t="s">
        <v>49</v>
      </c>
      <c r="AD406" s="933">
        <f>ROUND((((W406*D406)/1800)*0.8),4)</f>
        <v>3.09E-2</v>
      </c>
      <c r="AE406" s="933">
        <f>ROUND(((Y406+Z406+AA406)*0.8),4)</f>
        <v>0.1191</v>
      </c>
      <c r="AF406" s="61"/>
      <c r="AG406" s="61"/>
      <c r="AH406" s="61"/>
      <c r="AI406" s="61"/>
    </row>
    <row r="407" spans="1:37" s="417" customFormat="1" ht="15" customHeight="1" x14ac:dyDescent="0.2">
      <c r="A407" s="552"/>
      <c r="B407" s="399" t="s">
        <v>359</v>
      </c>
      <c r="C407" s="387"/>
      <c r="D407" s="209"/>
      <c r="E407" s="209"/>
      <c r="F407" s="209"/>
      <c r="G407" s="209"/>
      <c r="H407" s="209"/>
      <c r="I407" s="209"/>
      <c r="J407" s="209"/>
      <c r="K407" s="209"/>
      <c r="L407" s="209"/>
      <c r="M407" s="209"/>
      <c r="N407" s="209"/>
      <c r="O407" s="209"/>
      <c r="P407" s="209"/>
      <c r="Q407" s="209"/>
      <c r="R407" s="388"/>
      <c r="S407" s="215"/>
      <c r="T407" s="215"/>
      <c r="U407" s="215"/>
      <c r="V407" s="215"/>
      <c r="W407" s="215"/>
      <c r="X407" s="215"/>
      <c r="Y407" s="215"/>
      <c r="Z407" s="215"/>
      <c r="AA407" s="215"/>
      <c r="AB407" s="931" t="s">
        <v>51</v>
      </c>
      <c r="AC407" s="932" t="s">
        <v>52</v>
      </c>
      <c r="AD407" s="933">
        <f>ROUND((((W406*D406)/1800)*0.13),4)</f>
        <v>5.0000000000000001E-3</v>
      </c>
      <c r="AE407" s="933">
        <f>ROUND(((Y406+Z406+AA406)*0.13),4)</f>
        <v>1.9400000000000001E-2</v>
      </c>
      <c r="AF407" s="61"/>
      <c r="AG407" s="61"/>
      <c r="AH407" s="61"/>
      <c r="AI407" s="61"/>
    </row>
    <row r="408" spans="1:37" s="417" customFormat="1" ht="15" customHeight="1" x14ac:dyDescent="0.2">
      <c r="A408" s="558"/>
      <c r="B408" s="387" t="s">
        <v>360</v>
      </c>
      <c r="C408" s="389"/>
      <c r="D408" s="209"/>
      <c r="E408" s="209"/>
      <c r="F408" s="209"/>
      <c r="G408" s="209"/>
      <c r="H408" s="209"/>
      <c r="I408" s="209"/>
      <c r="J408" s="209"/>
      <c r="K408" s="209">
        <v>0.19</v>
      </c>
      <c r="L408" s="209">
        <v>0.23</v>
      </c>
      <c r="M408" s="209"/>
      <c r="N408" s="209"/>
      <c r="O408" s="209"/>
      <c r="P408" s="209"/>
      <c r="Q408" s="209"/>
      <c r="R408" s="133">
        <v>9.7000000000000003E-2</v>
      </c>
      <c r="S408" s="207">
        <f>ROUND((K408*H406+1.3*K408*J406+R408*G406),4)</f>
        <v>69.802499999999995</v>
      </c>
      <c r="T408" s="207">
        <f>ROUND((L408*0.9*H406+1.3*L408*0.9*J406+R408*G406),4)</f>
        <v>75.527299999999997</v>
      </c>
      <c r="U408" s="207">
        <f>ROUND((L408*H406+1.3*L408*J406+R408*G406),4)</f>
        <v>83.272499999999994</v>
      </c>
      <c r="V408" s="207">
        <f>ROUND((K408*I406+1.3*K408*M406+R408*F406),4)</f>
        <v>5.7119999999999997</v>
      </c>
      <c r="W408" s="207">
        <f>ROUND((L408*0.9*I406+1.3*L408*0.9*M406+R408*F406),4)</f>
        <v>6.1710000000000003</v>
      </c>
      <c r="X408" s="207">
        <f>ROUND((L408*I406+1.3*L408*M406+R408*F406),4)</f>
        <v>6.7919999999999998</v>
      </c>
      <c r="Y408" s="385">
        <f>ROUND((O406*S408*E406*N406/1000000),4)</f>
        <v>1.21E-2</v>
      </c>
      <c r="Z408" s="385">
        <f>ROUND((P406*T408*E406*N406/1000000),4)</f>
        <v>0</v>
      </c>
      <c r="AA408" s="385">
        <f>ROUND((Q406*U408*E406*N406/1000000),4)</f>
        <v>0</v>
      </c>
      <c r="AB408" s="931" t="s">
        <v>56</v>
      </c>
      <c r="AC408" s="932" t="s">
        <v>57</v>
      </c>
      <c r="AD408" s="933">
        <f>ROUND((((W408*D406)/1800)),4)</f>
        <v>3.3999999999999998E-3</v>
      </c>
      <c r="AE408" s="933">
        <f>ROUND(((Y408+Z408+AA408)),5)</f>
        <v>1.21E-2</v>
      </c>
      <c r="AF408" s="61"/>
      <c r="AG408" s="61"/>
      <c r="AH408" s="61"/>
      <c r="AI408" s="61"/>
    </row>
    <row r="409" spans="1:37" s="417" customFormat="1" ht="15" customHeight="1" x14ac:dyDescent="0.2">
      <c r="A409" s="558"/>
      <c r="B409" s="387"/>
      <c r="C409" s="387"/>
      <c r="D409" s="209"/>
      <c r="E409" s="209"/>
      <c r="F409" s="209"/>
      <c r="G409" s="209"/>
      <c r="H409" s="209"/>
      <c r="I409" s="209"/>
      <c r="J409" s="209"/>
      <c r="K409" s="209">
        <v>0.43</v>
      </c>
      <c r="L409" s="209">
        <v>0.51</v>
      </c>
      <c r="M409" s="209"/>
      <c r="N409" s="209"/>
      <c r="O409" s="209"/>
      <c r="P409" s="209"/>
      <c r="Q409" s="209"/>
      <c r="R409" s="133">
        <v>0.3</v>
      </c>
      <c r="S409" s="207">
        <f>ROUND((K409*H406+1.3*K409*J406+R409*G406),4)</f>
        <v>162.80250000000001</v>
      </c>
      <c r="T409" s="207">
        <f>ROUND((L409*0.9*H406+1.3*L409*0.9*J406+R409*G406),4)</f>
        <v>172.56829999999999</v>
      </c>
      <c r="U409" s="207">
        <f>ROUND((L409*H406+1.3*L409*J406+R409*G406),4)</f>
        <v>189.74250000000001</v>
      </c>
      <c r="V409" s="207">
        <f>ROUND((K409*I406+1.3*K409*M406+R409*F406),4)</f>
        <v>13.41</v>
      </c>
      <c r="W409" s="207">
        <f>ROUND((L409*0.9*I406+1.3*L409*0.9*M406+R409*F406),4)</f>
        <v>14.193</v>
      </c>
      <c r="X409" s="207">
        <f>ROUND((L409*I406+1.3*M406+R409*F406),4)</f>
        <v>21.94</v>
      </c>
      <c r="Y409" s="385">
        <f>ROUND((O406*S409*E406*N406/1000000),4)</f>
        <v>2.8199999999999999E-2</v>
      </c>
      <c r="Z409" s="385">
        <f>ROUND((P406*T409*E406*N406/1000000),4)</f>
        <v>0</v>
      </c>
      <c r="AA409" s="385">
        <f>ROUND((Q406*U409*E406*N406/1000000),4)</f>
        <v>0</v>
      </c>
      <c r="AB409" s="931" t="s">
        <v>177</v>
      </c>
      <c r="AC409" s="932" t="s">
        <v>178</v>
      </c>
      <c r="AD409" s="933">
        <f>ROUND((((W409*D406)/1800)),4)</f>
        <v>7.9000000000000008E-3</v>
      </c>
      <c r="AE409" s="933">
        <f>ROUND(((Y409+Z409+AA409)),4)</f>
        <v>2.8199999999999999E-2</v>
      </c>
      <c r="AF409" s="61"/>
      <c r="AG409" s="61"/>
      <c r="AH409" s="61"/>
      <c r="AI409" s="61"/>
    </row>
    <row r="410" spans="1:37" s="417" customFormat="1" ht="15" customHeight="1" x14ac:dyDescent="0.2">
      <c r="A410" s="558"/>
      <c r="B410" s="387"/>
      <c r="C410" s="387"/>
      <c r="D410" s="209"/>
      <c r="E410" s="209"/>
      <c r="F410" s="209"/>
      <c r="G410" s="209"/>
      <c r="H410" s="209"/>
      <c r="I410" s="209"/>
      <c r="J410" s="209"/>
      <c r="K410" s="209">
        <v>0.27</v>
      </c>
      <c r="L410" s="209">
        <v>0.41</v>
      </c>
      <c r="M410" s="209"/>
      <c r="N410" s="209"/>
      <c r="O410" s="209"/>
      <c r="P410" s="209"/>
      <c r="Q410" s="209"/>
      <c r="R410" s="133">
        <v>0.06</v>
      </c>
      <c r="S410" s="207">
        <f>ROUND((K410*H406+1.3*K410*J406+R410*G406),4)</f>
        <v>94.522499999999994</v>
      </c>
      <c r="T410" s="207">
        <f>ROUND((L410*0.9*H406+1.3*L410*0.9*J406+R410*G406),4)</f>
        <v>127.8608</v>
      </c>
      <c r="U410" s="207">
        <f>ROUND((L410*H406+1.3*L410*J406+R410*G406),4)</f>
        <v>141.66749999999999</v>
      </c>
      <c r="V410" s="207">
        <f>ROUND((K410*I406+1.3*K410*M406+R410*F406),4)</f>
        <v>7.65</v>
      </c>
      <c r="W410" s="207">
        <f>ROUND((L410*0.9*I406+1.3*L410*0.9*M406+R410*F406),4)</f>
        <v>10.323</v>
      </c>
      <c r="X410" s="207">
        <f>ROUND((L410*I406+1.3*L410*M406+R410*F406),4)</f>
        <v>11.43</v>
      </c>
      <c r="Y410" s="385">
        <f>ROUND((O406*S410*E406*N406/1000000),4)</f>
        <v>1.6400000000000001E-2</v>
      </c>
      <c r="Z410" s="385">
        <f>ROUND((P406*T410*E406*N406/1000000),4)</f>
        <v>0</v>
      </c>
      <c r="AA410" s="385">
        <f>ROUND((Q406*U410*E406*N406/1000000),4)</f>
        <v>0</v>
      </c>
      <c r="AB410" s="931" t="s">
        <v>61</v>
      </c>
      <c r="AC410" s="932" t="s">
        <v>62</v>
      </c>
      <c r="AD410" s="933">
        <f>ROUND((((W410*D406)/1800)),4)</f>
        <v>5.7000000000000002E-3</v>
      </c>
      <c r="AE410" s="933">
        <f>ROUND(((Y410+Z410+AA410)),4)</f>
        <v>1.6400000000000001E-2</v>
      </c>
      <c r="AF410" s="61"/>
      <c r="AG410" s="61"/>
      <c r="AH410" s="61"/>
      <c r="AI410" s="61"/>
    </row>
    <row r="411" spans="1:37" s="417" customFormat="1" ht="15" customHeight="1" x14ac:dyDescent="0.2">
      <c r="A411" s="563"/>
      <c r="B411" s="214"/>
      <c r="C411" s="214"/>
      <c r="D411" s="210"/>
      <c r="E411" s="210"/>
      <c r="F411" s="210"/>
      <c r="G411" s="210"/>
      <c r="H411" s="210"/>
      <c r="I411" s="210"/>
      <c r="J411" s="210"/>
      <c r="K411" s="210">
        <v>1.29</v>
      </c>
      <c r="L411" s="210">
        <v>1.57</v>
      </c>
      <c r="M411" s="210"/>
      <c r="N411" s="210"/>
      <c r="O411" s="210"/>
      <c r="P411" s="210"/>
      <c r="Q411" s="210"/>
      <c r="R411" s="133">
        <v>2.4</v>
      </c>
      <c r="S411" s="134">
        <f>ROUND((K411*H406+1.3*K411*J406+R411*G406),4)</f>
        <v>578.40750000000003</v>
      </c>
      <c r="T411" s="134">
        <f>ROUND((L411*0.9*H406+1.3*L411*0.9*J406+R411*G406),4)</f>
        <v>619.82780000000002</v>
      </c>
      <c r="U411" s="134">
        <f>ROUND((L411*H406+1.3*L411*J406+R411*G406),4)</f>
        <v>672.69749999999999</v>
      </c>
      <c r="V411" s="134">
        <f>ROUND((K411*I406+1.3*K411*M406+R411*F406),4)</f>
        <v>49.23</v>
      </c>
      <c r="W411" s="134">
        <f>ROUND((L411*0.9*I406+1.3*L411*0.9*M406+R411*F406),4)</f>
        <v>52.551000000000002</v>
      </c>
      <c r="X411" s="134">
        <f>ROUND((L411*I406+1.3*L411*M406+R411*F406),4)</f>
        <v>56.79</v>
      </c>
      <c r="Y411" s="394">
        <f>ROUND((O406*S411*E406*N406/1000000),4)</f>
        <v>0.10009999999999999</v>
      </c>
      <c r="Z411" s="394">
        <f>ROUND((P406*T411*E406*N406/1000000),4)</f>
        <v>0</v>
      </c>
      <c r="AA411" s="394">
        <f>ROUND((Q406*U411*E406*N406/1000000),4)</f>
        <v>0</v>
      </c>
      <c r="AB411" s="931" t="s">
        <v>65</v>
      </c>
      <c r="AC411" s="932" t="s">
        <v>66</v>
      </c>
      <c r="AD411" s="933">
        <f>ROUND((((W411*D406)/1800)),4)</f>
        <v>2.92E-2</v>
      </c>
      <c r="AE411" s="933">
        <f>ROUND(((Y411+Z411+AA411)),4)</f>
        <v>0.10009999999999999</v>
      </c>
      <c r="AF411" s="61">
        <f>SUM(AD406:AD411)</f>
        <v>8.2100000000000006E-2</v>
      </c>
      <c r="AG411" s="61">
        <f>SUM(AE406:AE411)</f>
        <v>0.29530000000000001</v>
      </c>
      <c r="AH411" s="61"/>
      <c r="AI411" s="61"/>
    </row>
    <row r="412" spans="1:37" s="417" customFormat="1" ht="15" customHeight="1" x14ac:dyDescent="0.2">
      <c r="A412" s="1449" t="s">
        <v>502</v>
      </c>
      <c r="B412" s="1450"/>
      <c r="C412" s="1451"/>
      <c r="D412" s="1451"/>
      <c r="E412" s="1451"/>
      <c r="F412" s="1451"/>
      <c r="G412" s="1451"/>
      <c r="H412" s="1451"/>
      <c r="I412" s="1451"/>
      <c r="J412" s="1451"/>
      <c r="K412" s="1451"/>
      <c r="L412" s="1451"/>
      <c r="M412" s="1451"/>
      <c r="N412" s="1451"/>
      <c r="O412" s="1451"/>
      <c r="P412" s="1451"/>
      <c r="Q412" s="1451"/>
      <c r="R412" s="1451"/>
      <c r="S412" s="1451"/>
      <c r="T412" s="1451"/>
      <c r="U412" s="1451"/>
      <c r="V412" s="1451"/>
      <c r="W412" s="1451"/>
      <c r="X412" s="1451"/>
      <c r="Y412" s="1451"/>
      <c r="Z412" s="1451"/>
      <c r="AA412" s="1451"/>
      <c r="AB412" s="1451"/>
      <c r="AC412" s="1451"/>
      <c r="AD412" s="1451"/>
      <c r="AE412" s="1452"/>
      <c r="AF412" s="61"/>
      <c r="AG412" s="61"/>
      <c r="AH412" s="61"/>
      <c r="AI412" s="61"/>
    </row>
    <row r="413" spans="1:37" s="417" customFormat="1" ht="15" customHeight="1" x14ac:dyDescent="0.2">
      <c r="A413" s="551" t="s">
        <v>482</v>
      </c>
      <c r="B413" s="398" t="s">
        <v>343</v>
      </c>
      <c r="C413" s="212">
        <v>4</v>
      </c>
      <c r="D413" s="170">
        <v>1</v>
      </c>
      <c r="E413" s="170">
        <v>1</v>
      </c>
      <c r="F413" s="170">
        <v>6</v>
      </c>
      <c r="G413" s="170">
        <v>60</v>
      </c>
      <c r="H413" s="170">
        <f>(8-1-0.75*2)*60*E413-J413-8*0.12*60</f>
        <v>57.900000000000006</v>
      </c>
      <c r="I413" s="170">
        <v>14</v>
      </c>
      <c r="J413" s="170">
        <f>(8-1-0.75*2)*0.65*60*E413</f>
        <v>214.5</v>
      </c>
      <c r="K413" s="170">
        <v>2.4700000000000002</v>
      </c>
      <c r="L413" s="170">
        <v>2.4700000000000002</v>
      </c>
      <c r="M413" s="170">
        <v>10</v>
      </c>
      <c r="N413" s="170">
        <f>D413/E413</f>
        <v>1</v>
      </c>
      <c r="O413" s="170">
        <v>173</v>
      </c>
      <c r="P413" s="170">
        <v>0</v>
      </c>
      <c r="Q413" s="211">
        <v>0</v>
      </c>
      <c r="R413" s="170">
        <v>0.48</v>
      </c>
      <c r="S413" s="207">
        <f>ROUND((K413*H413+1.3*K413*J413+R413*G413),4)</f>
        <v>860.57249999999999</v>
      </c>
      <c r="T413" s="207">
        <f>ROUND((L413*H413+1.3*L413*J413+R413*G413),4)</f>
        <v>860.57249999999999</v>
      </c>
      <c r="U413" s="207">
        <f>ROUND((L413*H413+1.3*L413*J413+R413*G413),4)</f>
        <v>860.57249999999999</v>
      </c>
      <c r="V413" s="207">
        <f>ROUND((K413*I413+1.3*K413*M413+R413*F413),4)</f>
        <v>69.569999999999993</v>
      </c>
      <c r="W413" s="207">
        <f>ROUND((L413*I413+1.3*L413*M413+R413*F413),4)</f>
        <v>69.569999999999993</v>
      </c>
      <c r="X413" s="207">
        <f>ROUND((L413*I413+1.3*L413*M413+R413*F413),4)</f>
        <v>69.569999999999993</v>
      </c>
      <c r="Y413" s="385">
        <f>ROUND((O413*S413*E413*N413/1000000),4)</f>
        <v>0.1489</v>
      </c>
      <c r="Z413" s="385">
        <f>ROUND((P413*T413*E413*N413/1000000),4)</f>
        <v>0</v>
      </c>
      <c r="AA413" s="385">
        <f>ROUND((Q413*U413*E413*N413/1000000),4)</f>
        <v>0</v>
      </c>
      <c r="AB413" s="931" t="s">
        <v>48</v>
      </c>
      <c r="AC413" s="932" t="s">
        <v>49</v>
      </c>
      <c r="AD413" s="933">
        <f>ROUND((((W413*D413)/1800)*0.8),4)</f>
        <v>3.09E-2</v>
      </c>
      <c r="AE413" s="933">
        <f>ROUND(((Y413+Z413+AA413)*0.8),4)</f>
        <v>0.1191</v>
      </c>
      <c r="AF413" s="61"/>
      <c r="AG413" s="61"/>
      <c r="AH413" s="61"/>
      <c r="AI413" s="61"/>
    </row>
    <row r="414" spans="1:37" s="417" customFormat="1" ht="15" customHeight="1" x14ac:dyDescent="0.2">
      <c r="A414" s="552"/>
      <c r="B414" s="399" t="s">
        <v>359</v>
      </c>
      <c r="C414" s="387"/>
      <c r="D414" s="209"/>
      <c r="E414" s="209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388"/>
      <c r="S414" s="215"/>
      <c r="T414" s="215"/>
      <c r="U414" s="215"/>
      <c r="V414" s="215"/>
      <c r="W414" s="215"/>
      <c r="X414" s="215"/>
      <c r="Y414" s="215"/>
      <c r="Z414" s="215"/>
      <c r="AA414" s="215"/>
      <c r="AB414" s="931" t="s">
        <v>51</v>
      </c>
      <c r="AC414" s="932" t="s">
        <v>52</v>
      </c>
      <c r="AD414" s="933">
        <f>ROUND((((W413*D413)/1800)*0.13),4)</f>
        <v>5.0000000000000001E-3</v>
      </c>
      <c r="AE414" s="933">
        <f>ROUND(((Y413+Z413+AA413)*0.13),4)</f>
        <v>1.9400000000000001E-2</v>
      </c>
      <c r="AF414" s="61"/>
      <c r="AG414" s="61"/>
      <c r="AH414" s="61"/>
      <c r="AI414" s="61"/>
    </row>
    <row r="415" spans="1:37" s="417" customFormat="1" ht="15" customHeight="1" x14ac:dyDescent="0.2">
      <c r="A415" s="558"/>
      <c r="B415" s="387" t="s">
        <v>360</v>
      </c>
      <c r="C415" s="389"/>
      <c r="D415" s="209"/>
      <c r="E415" s="209"/>
      <c r="F415" s="209"/>
      <c r="G415" s="209"/>
      <c r="H415" s="209"/>
      <c r="I415" s="209"/>
      <c r="J415" s="209"/>
      <c r="K415" s="209">
        <v>0.19</v>
      </c>
      <c r="L415" s="209">
        <v>0.23</v>
      </c>
      <c r="M415" s="209"/>
      <c r="N415" s="209"/>
      <c r="O415" s="209"/>
      <c r="P415" s="209"/>
      <c r="Q415" s="209"/>
      <c r="R415" s="133">
        <v>9.7000000000000003E-2</v>
      </c>
      <c r="S415" s="207">
        <f>ROUND((K415*H413+1.3*K415*J413+R415*G413),4)</f>
        <v>69.802499999999995</v>
      </c>
      <c r="T415" s="207">
        <f>ROUND((L415*0.9*H413+1.3*L415*0.9*J413+R415*G413),4)</f>
        <v>75.527299999999997</v>
      </c>
      <c r="U415" s="207">
        <f>ROUND((L415*H413+1.3*L415*J413+R415*G413),4)</f>
        <v>83.272499999999994</v>
      </c>
      <c r="V415" s="207">
        <f>ROUND((K415*I413+1.3*K415*M413+R415*F413),4)</f>
        <v>5.7119999999999997</v>
      </c>
      <c r="W415" s="207">
        <f>ROUND((L415*0.9*I413+1.3*L415*0.9*M413+R415*F413),4)</f>
        <v>6.1710000000000003</v>
      </c>
      <c r="X415" s="207">
        <f>ROUND((L415*I413+1.3*L415*M413+R415*F413),4)</f>
        <v>6.7919999999999998</v>
      </c>
      <c r="Y415" s="385">
        <f>ROUND((O413*S415*E413*N413/1000000),4)</f>
        <v>1.21E-2</v>
      </c>
      <c r="Z415" s="385">
        <f>ROUND((P413*T415*E413*N413/1000000),4)</f>
        <v>0</v>
      </c>
      <c r="AA415" s="385">
        <f>ROUND((Q413*U415*E413*N413/1000000),4)</f>
        <v>0</v>
      </c>
      <c r="AB415" s="931" t="s">
        <v>56</v>
      </c>
      <c r="AC415" s="932" t="s">
        <v>57</v>
      </c>
      <c r="AD415" s="933">
        <f>ROUND((((W415*D413)/1800)),4)</f>
        <v>3.3999999999999998E-3</v>
      </c>
      <c r="AE415" s="933">
        <f>ROUND(((Y415+Z415+AA415)),5)</f>
        <v>1.21E-2</v>
      </c>
      <c r="AF415" s="61"/>
      <c r="AG415" s="61"/>
      <c r="AH415" s="61"/>
      <c r="AI415" s="61"/>
    </row>
    <row r="416" spans="1:37" s="417" customFormat="1" ht="15" customHeight="1" x14ac:dyDescent="0.2">
      <c r="A416" s="558"/>
      <c r="B416" s="387"/>
      <c r="C416" s="387"/>
      <c r="D416" s="209"/>
      <c r="E416" s="209"/>
      <c r="F416" s="209"/>
      <c r="G416" s="209"/>
      <c r="H416" s="209"/>
      <c r="I416" s="209"/>
      <c r="J416" s="209"/>
      <c r="K416" s="209">
        <v>0.43</v>
      </c>
      <c r="L416" s="209">
        <v>0.51</v>
      </c>
      <c r="M416" s="209"/>
      <c r="N416" s="209"/>
      <c r="O416" s="209"/>
      <c r="P416" s="209"/>
      <c r="Q416" s="209"/>
      <c r="R416" s="133">
        <v>0.3</v>
      </c>
      <c r="S416" s="207">
        <f>ROUND((K416*H413+1.3*K416*J413+R416*G413),4)</f>
        <v>162.80250000000001</v>
      </c>
      <c r="T416" s="207">
        <f>ROUND((L416*0.9*H413+1.3*L416*0.9*J413+R416*G413),4)</f>
        <v>172.56829999999999</v>
      </c>
      <c r="U416" s="207">
        <f>ROUND((L416*H413+1.3*L416*J413+R416*G413),4)</f>
        <v>189.74250000000001</v>
      </c>
      <c r="V416" s="207">
        <f>ROUND((K416*I413+1.3*K416*M413+R416*F413),4)</f>
        <v>13.41</v>
      </c>
      <c r="W416" s="207">
        <f>ROUND((L416*0.9*I413+1.3*L416*0.9*M413+R416*F413),4)</f>
        <v>14.193</v>
      </c>
      <c r="X416" s="207">
        <f>ROUND((L416*I413+1.3*M413+R416*F413),4)</f>
        <v>21.94</v>
      </c>
      <c r="Y416" s="385">
        <f>ROUND((O413*S416*E413*N413/1000000),4)</f>
        <v>2.8199999999999999E-2</v>
      </c>
      <c r="Z416" s="385">
        <f>ROUND((P413*T416*E413*N413/1000000),4)</f>
        <v>0</v>
      </c>
      <c r="AA416" s="385">
        <f>ROUND((Q413*U416*E413*N413/1000000),4)</f>
        <v>0</v>
      </c>
      <c r="AB416" s="931" t="s">
        <v>177</v>
      </c>
      <c r="AC416" s="932" t="s">
        <v>178</v>
      </c>
      <c r="AD416" s="933">
        <f>ROUND((((W416*D413)/1800)),4)</f>
        <v>7.9000000000000008E-3</v>
      </c>
      <c r="AE416" s="933">
        <f>ROUND(((Y416+Z416+AA416)),4)</f>
        <v>2.8199999999999999E-2</v>
      </c>
      <c r="AF416" s="61"/>
      <c r="AG416" s="61"/>
      <c r="AH416" s="61"/>
      <c r="AI416" s="61"/>
    </row>
    <row r="417" spans="1:35" s="417" customFormat="1" ht="15" customHeight="1" x14ac:dyDescent="0.2">
      <c r="A417" s="558"/>
      <c r="B417" s="387"/>
      <c r="C417" s="387"/>
      <c r="D417" s="209"/>
      <c r="E417" s="209"/>
      <c r="F417" s="209"/>
      <c r="G417" s="209"/>
      <c r="H417" s="209"/>
      <c r="I417" s="209"/>
      <c r="J417" s="209"/>
      <c r="K417" s="209">
        <v>0.27</v>
      </c>
      <c r="L417" s="209">
        <v>0.41</v>
      </c>
      <c r="M417" s="209"/>
      <c r="N417" s="209"/>
      <c r="O417" s="209"/>
      <c r="P417" s="209"/>
      <c r="Q417" s="209"/>
      <c r="R417" s="133">
        <v>0.06</v>
      </c>
      <c r="S417" s="207">
        <f>ROUND((K417*H413+1.3*K417*J413+R417*G413),4)</f>
        <v>94.522499999999994</v>
      </c>
      <c r="T417" s="207">
        <f>ROUND((L417*0.9*H413+1.3*L417*0.9*J413+R417*G413),4)</f>
        <v>127.8608</v>
      </c>
      <c r="U417" s="207">
        <f>ROUND((L417*H413+1.3*L417*J413+R417*G413),4)</f>
        <v>141.66749999999999</v>
      </c>
      <c r="V417" s="207">
        <f>ROUND((K417*I413+1.3*K417*M413+R417*F413),4)</f>
        <v>7.65</v>
      </c>
      <c r="W417" s="207">
        <f>ROUND((L417*0.9*I413+1.3*L417*0.9*M413+R417*F413),4)</f>
        <v>10.323</v>
      </c>
      <c r="X417" s="207">
        <f>ROUND((L417*I413+1.3*L417*M413+R417*F413),4)</f>
        <v>11.43</v>
      </c>
      <c r="Y417" s="385">
        <f>ROUND((O413*S417*E413*N413/1000000),4)</f>
        <v>1.6400000000000001E-2</v>
      </c>
      <c r="Z417" s="385">
        <f>ROUND((P413*T417*E413*N413/1000000),4)</f>
        <v>0</v>
      </c>
      <c r="AA417" s="385">
        <f>ROUND((Q413*U417*E413*N413/1000000),4)</f>
        <v>0</v>
      </c>
      <c r="AB417" s="931" t="s">
        <v>61</v>
      </c>
      <c r="AC417" s="932" t="s">
        <v>62</v>
      </c>
      <c r="AD417" s="933">
        <f>ROUND((((W417*D413)/1800)),4)</f>
        <v>5.7000000000000002E-3</v>
      </c>
      <c r="AE417" s="933">
        <f>ROUND(((Y417+Z417+AA417)),4)</f>
        <v>1.6400000000000001E-2</v>
      </c>
      <c r="AF417" s="61"/>
      <c r="AG417" s="61"/>
      <c r="AH417" s="61"/>
      <c r="AI417" s="61"/>
    </row>
    <row r="418" spans="1:35" s="417" customFormat="1" ht="15" customHeight="1" x14ac:dyDescent="0.2">
      <c r="A418" s="563"/>
      <c r="B418" s="214"/>
      <c r="C418" s="214"/>
      <c r="D418" s="210"/>
      <c r="E418" s="210"/>
      <c r="F418" s="210"/>
      <c r="G418" s="210"/>
      <c r="H418" s="210"/>
      <c r="I418" s="210"/>
      <c r="J418" s="210"/>
      <c r="K418" s="210">
        <v>1.29</v>
      </c>
      <c r="L418" s="210">
        <v>1.57</v>
      </c>
      <c r="M418" s="210"/>
      <c r="N418" s="210"/>
      <c r="O418" s="210"/>
      <c r="P418" s="210"/>
      <c r="Q418" s="210"/>
      <c r="R418" s="133">
        <v>2.4</v>
      </c>
      <c r="S418" s="134">
        <f>ROUND((K418*H413+1.3*K418*J413+R418*G413),4)</f>
        <v>578.40750000000003</v>
      </c>
      <c r="T418" s="134">
        <f>ROUND((L418*0.9*H413+1.3*L418*0.9*J413+R418*G413),4)</f>
        <v>619.82780000000002</v>
      </c>
      <c r="U418" s="134">
        <f>ROUND((L418*H413+1.3*L418*J413+R418*G413),4)</f>
        <v>672.69749999999999</v>
      </c>
      <c r="V418" s="134">
        <f>ROUND((K418*I413+1.3*K418*M413+R418*F413),4)</f>
        <v>49.23</v>
      </c>
      <c r="W418" s="134">
        <f>ROUND((L418*0.9*I413+1.3*L418*0.9*M413+R418*F413),4)</f>
        <v>52.551000000000002</v>
      </c>
      <c r="X418" s="134">
        <f>ROUND((L418*I413+1.3*L418*M413+R418*F413),4)</f>
        <v>56.79</v>
      </c>
      <c r="Y418" s="394">
        <f>ROUND((O413*S418*E413*N413/1000000),4)</f>
        <v>0.10009999999999999</v>
      </c>
      <c r="Z418" s="394">
        <f>ROUND((P413*T418*E413*N413/1000000),4)</f>
        <v>0</v>
      </c>
      <c r="AA418" s="394">
        <f>ROUND((Q413*U418*E413*N413/1000000),4)</f>
        <v>0</v>
      </c>
      <c r="AB418" s="931" t="s">
        <v>65</v>
      </c>
      <c r="AC418" s="932" t="s">
        <v>66</v>
      </c>
      <c r="AD418" s="933">
        <f>ROUND((((W418*D413)/1800)),4)</f>
        <v>2.92E-2</v>
      </c>
      <c r="AE418" s="933">
        <f>ROUND(((Y418+Z418+AA418)),4)</f>
        <v>0.10009999999999999</v>
      </c>
      <c r="AF418" s="61">
        <f>SUM(AD413:AD418)</f>
        <v>8.2100000000000006E-2</v>
      </c>
      <c r="AG418" s="61">
        <f>SUM(AE413:AE418)</f>
        <v>0.29530000000000001</v>
      </c>
      <c r="AH418" s="61"/>
      <c r="AI418" s="61"/>
    </row>
    <row r="419" spans="1:35" s="417" customFormat="1" ht="15" customHeight="1" x14ac:dyDescent="0.2">
      <c r="A419" s="1449" t="s">
        <v>506</v>
      </c>
      <c r="B419" s="1450"/>
      <c r="C419" s="1451"/>
      <c r="D419" s="1451"/>
      <c r="E419" s="1451"/>
      <c r="F419" s="1451"/>
      <c r="G419" s="1451"/>
      <c r="H419" s="1451"/>
      <c r="I419" s="1451"/>
      <c r="J419" s="1451"/>
      <c r="K419" s="1451"/>
      <c r="L419" s="1451"/>
      <c r="M419" s="1451"/>
      <c r="N419" s="1451"/>
      <c r="O419" s="1451"/>
      <c r="P419" s="1451"/>
      <c r="Q419" s="1451"/>
      <c r="R419" s="1451"/>
      <c r="S419" s="1451"/>
      <c r="T419" s="1451"/>
      <c r="U419" s="1451"/>
      <c r="V419" s="1451"/>
      <c r="W419" s="1451"/>
      <c r="X419" s="1451"/>
      <c r="Y419" s="1451"/>
      <c r="Z419" s="1451"/>
      <c r="AA419" s="1451"/>
      <c r="AB419" s="1451"/>
      <c r="AC419" s="1451"/>
      <c r="AD419" s="1451"/>
      <c r="AE419" s="1452"/>
      <c r="AF419" s="61"/>
      <c r="AG419" s="61"/>
      <c r="AH419" s="61"/>
      <c r="AI419" s="61"/>
    </row>
    <row r="420" spans="1:35" s="417" customFormat="1" ht="15" customHeight="1" x14ac:dyDescent="0.2">
      <c r="A420" s="551" t="s">
        <v>483</v>
      </c>
      <c r="B420" s="398" t="s">
        <v>343</v>
      </c>
      <c r="C420" s="212">
        <v>4</v>
      </c>
      <c r="D420" s="170">
        <v>1</v>
      </c>
      <c r="E420" s="170">
        <v>1</v>
      </c>
      <c r="F420" s="170">
        <v>6</v>
      </c>
      <c r="G420" s="170">
        <v>60</v>
      </c>
      <c r="H420" s="170">
        <f>(8-1-0.75*2)*60*E420-J420-8*0.12*60</f>
        <v>57.900000000000006</v>
      </c>
      <c r="I420" s="170">
        <v>14</v>
      </c>
      <c r="J420" s="170">
        <f>(8-1-0.75*2)*0.65*60*E420</f>
        <v>214.5</v>
      </c>
      <c r="K420" s="170">
        <v>2.4700000000000002</v>
      </c>
      <c r="L420" s="170">
        <v>2.4700000000000002</v>
      </c>
      <c r="M420" s="170">
        <v>10</v>
      </c>
      <c r="N420" s="170">
        <f>D420/E420</f>
        <v>1</v>
      </c>
      <c r="O420" s="170">
        <v>173</v>
      </c>
      <c r="P420" s="170">
        <v>0</v>
      </c>
      <c r="Q420" s="211">
        <v>0</v>
      </c>
      <c r="R420" s="170">
        <v>0.48</v>
      </c>
      <c r="S420" s="207">
        <f>ROUND((K420*H420+1.3*K420*J420+R420*G420),4)</f>
        <v>860.57249999999999</v>
      </c>
      <c r="T420" s="207">
        <f>ROUND((L420*H420+1.3*L420*J420+R420*G420),4)</f>
        <v>860.57249999999999</v>
      </c>
      <c r="U420" s="207">
        <f>ROUND((L420*H420+1.3*L420*J420+R420*G420),4)</f>
        <v>860.57249999999999</v>
      </c>
      <c r="V420" s="207">
        <f>ROUND((K420*I420+1.3*K420*M420+R420*F420),4)</f>
        <v>69.569999999999993</v>
      </c>
      <c r="W420" s="207">
        <f>ROUND((L420*I420+1.3*L420*M420+R420*F420),4)</f>
        <v>69.569999999999993</v>
      </c>
      <c r="X420" s="207">
        <f>ROUND((L420*I420+1.3*L420*M420+R420*F420),4)</f>
        <v>69.569999999999993</v>
      </c>
      <c r="Y420" s="385">
        <f>ROUND((O420*S420*E420*N420/1000000),4)</f>
        <v>0.1489</v>
      </c>
      <c r="Z420" s="385">
        <f>ROUND((P420*T420*E420*N420/1000000),4)</f>
        <v>0</v>
      </c>
      <c r="AA420" s="385">
        <f>ROUND((Q420*U420*E420*N420/1000000),4)</f>
        <v>0</v>
      </c>
      <c r="AB420" s="931" t="s">
        <v>48</v>
      </c>
      <c r="AC420" s="932" t="s">
        <v>49</v>
      </c>
      <c r="AD420" s="933">
        <f>ROUND((((W420*D420)/1800)*0.8),4)</f>
        <v>3.09E-2</v>
      </c>
      <c r="AE420" s="933">
        <f>ROUND(((Y420+Z420+AA420)*0.8),4)</f>
        <v>0.1191</v>
      </c>
      <c r="AF420" s="61"/>
      <c r="AG420" s="61"/>
      <c r="AH420" s="61"/>
      <c r="AI420" s="61"/>
    </row>
    <row r="421" spans="1:35" s="417" customFormat="1" ht="15" customHeight="1" x14ac:dyDescent="0.2">
      <c r="A421" s="552" t="s">
        <v>492</v>
      </c>
      <c r="B421" s="399" t="s">
        <v>359</v>
      </c>
      <c r="C421" s="387"/>
      <c r="D421" s="209"/>
      <c r="E421" s="209"/>
      <c r="F421" s="209"/>
      <c r="G421" s="209"/>
      <c r="H421" s="209"/>
      <c r="I421" s="209"/>
      <c r="J421" s="209"/>
      <c r="K421" s="209"/>
      <c r="L421" s="209"/>
      <c r="M421" s="209"/>
      <c r="N421" s="209"/>
      <c r="O421" s="209"/>
      <c r="P421" s="209"/>
      <c r="Q421" s="209"/>
      <c r="R421" s="388"/>
      <c r="S421" s="215"/>
      <c r="T421" s="215"/>
      <c r="U421" s="215"/>
      <c r="V421" s="215"/>
      <c r="W421" s="215"/>
      <c r="X421" s="215"/>
      <c r="Y421" s="215"/>
      <c r="Z421" s="215"/>
      <c r="AA421" s="215"/>
      <c r="AB421" s="931" t="s">
        <v>51</v>
      </c>
      <c r="AC421" s="932" t="s">
        <v>52</v>
      </c>
      <c r="AD421" s="933">
        <f>ROUND((((W420*D420)/1800)*0.13),4)</f>
        <v>5.0000000000000001E-3</v>
      </c>
      <c r="AE421" s="933">
        <f>ROUND(((Y420+Z420+AA420)*0.13),4)</f>
        <v>1.9400000000000001E-2</v>
      </c>
      <c r="AF421" s="61"/>
      <c r="AG421" s="61"/>
      <c r="AH421" s="61"/>
      <c r="AI421" s="61"/>
    </row>
    <row r="422" spans="1:35" s="417" customFormat="1" ht="15" customHeight="1" x14ac:dyDescent="0.2">
      <c r="A422" s="558"/>
      <c r="B422" s="387" t="s">
        <v>360</v>
      </c>
      <c r="C422" s="389"/>
      <c r="D422" s="209"/>
      <c r="E422" s="209"/>
      <c r="F422" s="209"/>
      <c r="G422" s="209"/>
      <c r="H422" s="209"/>
      <c r="I422" s="209"/>
      <c r="J422" s="209"/>
      <c r="K422" s="209">
        <v>0.19</v>
      </c>
      <c r="L422" s="209">
        <v>0.23</v>
      </c>
      <c r="M422" s="209"/>
      <c r="N422" s="209"/>
      <c r="O422" s="209"/>
      <c r="P422" s="209"/>
      <c r="Q422" s="209"/>
      <c r="R422" s="133">
        <v>9.7000000000000003E-2</v>
      </c>
      <c r="S422" s="207">
        <f>ROUND((K422*H420+1.3*K422*J420+R422*G420),4)</f>
        <v>69.802499999999995</v>
      </c>
      <c r="T422" s="207">
        <f>ROUND((L422*0.9*H420+1.3*L422*0.9*J420+R422*G420),4)</f>
        <v>75.527299999999997</v>
      </c>
      <c r="U422" s="207">
        <f>ROUND((L422*H420+1.3*L422*J420+R422*G420),4)</f>
        <v>83.272499999999994</v>
      </c>
      <c r="V422" s="207">
        <f>ROUND((K422*I420+1.3*K422*M420+R422*F420),4)</f>
        <v>5.7119999999999997</v>
      </c>
      <c r="W422" s="207">
        <f>ROUND((L422*0.9*I420+1.3*L422*0.9*M420+R422*F420),4)</f>
        <v>6.1710000000000003</v>
      </c>
      <c r="X422" s="207">
        <f>ROUND((L422*I420+1.3*L422*M420+R422*F420),4)</f>
        <v>6.7919999999999998</v>
      </c>
      <c r="Y422" s="385">
        <f>ROUND((O420*S422*E420*N420/1000000),4)</f>
        <v>1.21E-2</v>
      </c>
      <c r="Z422" s="385">
        <f>ROUND((P420*T422*E420*N420/1000000),4)</f>
        <v>0</v>
      </c>
      <c r="AA422" s="385">
        <f>ROUND((Q420*U422*E420*N420/1000000),4)</f>
        <v>0</v>
      </c>
      <c r="AB422" s="931" t="s">
        <v>56</v>
      </c>
      <c r="AC422" s="932" t="s">
        <v>57</v>
      </c>
      <c r="AD422" s="933">
        <f>ROUND((((W422*D420)/1800)),4)</f>
        <v>3.3999999999999998E-3</v>
      </c>
      <c r="AE422" s="933">
        <f>ROUND(((Y422+Z422+AA422)),5)</f>
        <v>1.21E-2</v>
      </c>
      <c r="AF422" s="61"/>
      <c r="AG422" s="61"/>
      <c r="AH422" s="61"/>
      <c r="AI422" s="61"/>
    </row>
    <row r="423" spans="1:35" s="417" customFormat="1" ht="15" customHeight="1" x14ac:dyDescent="0.2">
      <c r="A423" s="558"/>
      <c r="B423" s="387"/>
      <c r="C423" s="387"/>
      <c r="D423" s="209"/>
      <c r="E423" s="209"/>
      <c r="F423" s="209"/>
      <c r="G423" s="209"/>
      <c r="H423" s="209"/>
      <c r="I423" s="209"/>
      <c r="J423" s="209"/>
      <c r="K423" s="209">
        <v>0.43</v>
      </c>
      <c r="L423" s="209">
        <v>0.51</v>
      </c>
      <c r="M423" s="209"/>
      <c r="N423" s="209"/>
      <c r="O423" s="209"/>
      <c r="P423" s="209"/>
      <c r="Q423" s="209"/>
      <c r="R423" s="133">
        <v>0.3</v>
      </c>
      <c r="S423" s="207">
        <f>ROUND((K423*H420+1.3*K423*J420+R423*G420),4)</f>
        <v>162.80250000000001</v>
      </c>
      <c r="T423" s="207">
        <f>ROUND((L423*0.9*H420+1.3*L423*0.9*J420+R423*G420),4)</f>
        <v>172.56829999999999</v>
      </c>
      <c r="U423" s="207">
        <f>ROUND((L423*H420+1.3*L423*J420+R423*G420),4)</f>
        <v>189.74250000000001</v>
      </c>
      <c r="V423" s="207">
        <f>ROUND((K423*I420+1.3*K423*M420+R423*F420),4)</f>
        <v>13.41</v>
      </c>
      <c r="W423" s="207">
        <f>ROUND((L423*0.9*I420+1.3*L423*0.9*M420+R423*F420),4)</f>
        <v>14.193</v>
      </c>
      <c r="X423" s="207">
        <f>ROUND((L423*I420+1.3*M420+R423*F420),4)</f>
        <v>21.94</v>
      </c>
      <c r="Y423" s="385">
        <f>ROUND((O420*S423*E420*N420/1000000),4)</f>
        <v>2.8199999999999999E-2</v>
      </c>
      <c r="Z423" s="385">
        <f>ROUND((P420*T423*E420*N420/1000000),4)</f>
        <v>0</v>
      </c>
      <c r="AA423" s="385">
        <f>ROUND((Q420*U423*E420*N420/1000000),4)</f>
        <v>0</v>
      </c>
      <c r="AB423" s="931" t="s">
        <v>177</v>
      </c>
      <c r="AC423" s="932" t="s">
        <v>178</v>
      </c>
      <c r="AD423" s="933">
        <f>ROUND((((W423*D420)/1800)),4)</f>
        <v>7.9000000000000008E-3</v>
      </c>
      <c r="AE423" s="933">
        <f>ROUND(((Y423+Z423+AA423)),4)</f>
        <v>2.8199999999999999E-2</v>
      </c>
      <c r="AF423" s="61"/>
      <c r="AG423" s="61"/>
      <c r="AH423" s="61"/>
      <c r="AI423" s="61"/>
    </row>
    <row r="424" spans="1:35" s="417" customFormat="1" ht="15" customHeight="1" x14ac:dyDescent="0.2">
      <c r="A424" s="558"/>
      <c r="B424" s="387"/>
      <c r="C424" s="387"/>
      <c r="D424" s="209"/>
      <c r="E424" s="209"/>
      <c r="F424" s="209"/>
      <c r="G424" s="209"/>
      <c r="H424" s="209"/>
      <c r="I424" s="209"/>
      <c r="J424" s="209"/>
      <c r="K424" s="209">
        <v>0.27</v>
      </c>
      <c r="L424" s="209">
        <v>0.41</v>
      </c>
      <c r="M424" s="209"/>
      <c r="N424" s="209"/>
      <c r="O424" s="209"/>
      <c r="P424" s="209"/>
      <c r="Q424" s="209"/>
      <c r="R424" s="133">
        <v>0.06</v>
      </c>
      <c r="S424" s="207">
        <f>ROUND((K424*H420+1.3*K424*J420+R424*G420),4)</f>
        <v>94.522499999999994</v>
      </c>
      <c r="T424" s="207">
        <f>ROUND((L424*0.9*H420+1.3*L424*0.9*J420+R424*G420),4)</f>
        <v>127.8608</v>
      </c>
      <c r="U424" s="207">
        <f>ROUND((L424*H420+1.3*L424*J420+R424*G420),4)</f>
        <v>141.66749999999999</v>
      </c>
      <c r="V424" s="207">
        <f>ROUND((K424*I420+1.3*K424*M420+R424*F420),4)</f>
        <v>7.65</v>
      </c>
      <c r="W424" s="207">
        <f>ROUND((L424*0.9*I420+1.3*L424*0.9*M420+R424*F420),4)</f>
        <v>10.323</v>
      </c>
      <c r="X424" s="207">
        <f>ROUND((L424*I420+1.3*L424*M420+R424*F420),4)</f>
        <v>11.43</v>
      </c>
      <c r="Y424" s="385">
        <f>ROUND((O420*S424*E420*N420/1000000),4)</f>
        <v>1.6400000000000001E-2</v>
      </c>
      <c r="Z424" s="385">
        <f>ROUND((P420*T424*E420*N420/1000000),4)</f>
        <v>0</v>
      </c>
      <c r="AA424" s="385">
        <f>ROUND((Q420*U424*E420*N420/1000000),4)</f>
        <v>0</v>
      </c>
      <c r="AB424" s="931" t="s">
        <v>61</v>
      </c>
      <c r="AC424" s="932" t="s">
        <v>62</v>
      </c>
      <c r="AD424" s="933">
        <f>ROUND((((W424*D420)/1800)),4)</f>
        <v>5.7000000000000002E-3</v>
      </c>
      <c r="AE424" s="933">
        <f>ROUND(((Y424+Z424+AA424)),4)</f>
        <v>1.6400000000000001E-2</v>
      </c>
      <c r="AF424" s="61"/>
      <c r="AG424" s="61"/>
      <c r="AH424" s="61"/>
      <c r="AI424" s="61"/>
    </row>
    <row r="425" spans="1:35" s="417" customFormat="1" ht="15" customHeight="1" x14ac:dyDescent="0.2">
      <c r="A425" s="563"/>
      <c r="B425" s="214"/>
      <c r="C425" s="214"/>
      <c r="D425" s="210"/>
      <c r="E425" s="210"/>
      <c r="F425" s="210"/>
      <c r="G425" s="210"/>
      <c r="H425" s="210"/>
      <c r="I425" s="210"/>
      <c r="J425" s="210"/>
      <c r="K425" s="210">
        <v>1.29</v>
      </c>
      <c r="L425" s="210">
        <v>1.57</v>
      </c>
      <c r="M425" s="210"/>
      <c r="N425" s="210"/>
      <c r="O425" s="210"/>
      <c r="P425" s="210"/>
      <c r="Q425" s="210"/>
      <c r="R425" s="133">
        <v>2.4</v>
      </c>
      <c r="S425" s="134">
        <f>ROUND((K425*H420+1.3*K425*J420+R425*G420),4)</f>
        <v>578.40750000000003</v>
      </c>
      <c r="T425" s="134">
        <f>ROUND((L425*0.9*H420+1.3*L425*0.9*J420+R425*G420),4)</f>
        <v>619.82780000000002</v>
      </c>
      <c r="U425" s="134">
        <f>ROUND((L425*H420+1.3*L425*J420+R425*G420),4)</f>
        <v>672.69749999999999</v>
      </c>
      <c r="V425" s="134">
        <f>ROUND((K425*I420+1.3*K425*M420+R425*F420),4)</f>
        <v>49.23</v>
      </c>
      <c r="W425" s="134">
        <f>ROUND((L425*0.9*I420+1.3*L425*0.9*M420+R425*F420),4)</f>
        <v>52.551000000000002</v>
      </c>
      <c r="X425" s="134">
        <f>ROUND((L425*I420+1.3*L425*M420+R425*F420),4)</f>
        <v>56.79</v>
      </c>
      <c r="Y425" s="394">
        <f>ROUND((O420*S425*E420*N420/1000000),4)</f>
        <v>0.10009999999999999</v>
      </c>
      <c r="Z425" s="394">
        <f>ROUND((P420*T425*E420*N420/1000000),4)</f>
        <v>0</v>
      </c>
      <c r="AA425" s="394">
        <f>ROUND((Q420*U425*E420*N420/1000000),4)</f>
        <v>0</v>
      </c>
      <c r="AB425" s="931" t="s">
        <v>65</v>
      </c>
      <c r="AC425" s="932" t="s">
        <v>66</v>
      </c>
      <c r="AD425" s="933">
        <f>ROUND((((W425*D420)/1800)),4)</f>
        <v>2.92E-2</v>
      </c>
      <c r="AE425" s="933">
        <f>ROUND(((Y425+Z425+AA425)),4)</f>
        <v>0.10009999999999999</v>
      </c>
      <c r="AF425" s="61">
        <f>SUM(AD420:AD425)</f>
        <v>8.2100000000000006E-2</v>
      </c>
      <c r="AG425" s="61">
        <f>SUM(AE420:AE425)</f>
        <v>0.29530000000000001</v>
      </c>
      <c r="AH425" s="61"/>
      <c r="AI425" s="61"/>
    </row>
    <row r="426" spans="1:35" s="417" customFormat="1" ht="15" customHeight="1" x14ac:dyDescent="0.2">
      <c r="A426" s="1449" t="s">
        <v>508</v>
      </c>
      <c r="B426" s="1450"/>
      <c r="C426" s="1451"/>
      <c r="D426" s="1451"/>
      <c r="E426" s="1451"/>
      <c r="F426" s="1451"/>
      <c r="G426" s="1451"/>
      <c r="H426" s="1451"/>
      <c r="I426" s="1451"/>
      <c r="J426" s="1451"/>
      <c r="K426" s="1451"/>
      <c r="L426" s="1451"/>
      <c r="M426" s="1451"/>
      <c r="N426" s="1451"/>
      <c r="O426" s="1451"/>
      <c r="P426" s="1451"/>
      <c r="Q426" s="1451"/>
      <c r="R426" s="1451"/>
      <c r="S426" s="1451"/>
      <c r="T426" s="1451"/>
      <c r="U426" s="1451"/>
      <c r="V426" s="1451"/>
      <c r="W426" s="1451"/>
      <c r="X426" s="1451"/>
      <c r="Y426" s="1451"/>
      <c r="Z426" s="1451"/>
      <c r="AA426" s="1451"/>
      <c r="AB426" s="1451"/>
      <c r="AC426" s="1451"/>
      <c r="AD426" s="1451"/>
      <c r="AE426" s="1452"/>
      <c r="AF426" s="61"/>
      <c r="AG426" s="61"/>
      <c r="AH426" s="61"/>
      <c r="AI426" s="61"/>
    </row>
    <row r="427" spans="1:35" s="417" customFormat="1" ht="15" customHeight="1" x14ac:dyDescent="0.2">
      <c r="A427" s="551" t="s">
        <v>500</v>
      </c>
      <c r="B427" s="398" t="s">
        <v>343</v>
      </c>
      <c r="C427" s="212">
        <v>4</v>
      </c>
      <c r="D427" s="170">
        <v>1</v>
      </c>
      <c r="E427" s="170">
        <v>1</v>
      </c>
      <c r="F427" s="170">
        <v>6</v>
      </c>
      <c r="G427" s="170">
        <v>60</v>
      </c>
      <c r="H427" s="170">
        <f>(8-1-0.75*2)*60*E427-J427-8*0.12*60</f>
        <v>57.900000000000006</v>
      </c>
      <c r="I427" s="170">
        <v>14</v>
      </c>
      <c r="J427" s="170">
        <f>(8-1-0.75*2)*0.65*60*E427</f>
        <v>214.5</v>
      </c>
      <c r="K427" s="170">
        <v>2.4700000000000002</v>
      </c>
      <c r="L427" s="170">
        <v>2.4700000000000002</v>
      </c>
      <c r="M427" s="170">
        <v>10</v>
      </c>
      <c r="N427" s="170">
        <f>D427/E427</f>
        <v>1</v>
      </c>
      <c r="O427" s="170">
        <v>173</v>
      </c>
      <c r="P427" s="170">
        <v>0</v>
      </c>
      <c r="Q427" s="211">
        <v>0</v>
      </c>
      <c r="R427" s="170">
        <v>0.48</v>
      </c>
      <c r="S427" s="207">
        <f>ROUND((K427*H427+1.3*K427*J427+R427*G427),4)</f>
        <v>860.57249999999999</v>
      </c>
      <c r="T427" s="207">
        <f>ROUND((L427*H427+1.3*L427*J427+R427*G427),4)</f>
        <v>860.57249999999999</v>
      </c>
      <c r="U427" s="207">
        <f>ROUND((L427*H427+1.3*L427*J427+R427*G427),4)</f>
        <v>860.57249999999999</v>
      </c>
      <c r="V427" s="207">
        <f>ROUND((K427*I427+1.3*K427*M427+R427*F427),4)</f>
        <v>69.569999999999993</v>
      </c>
      <c r="W427" s="207">
        <f>ROUND((L427*I427+1.3*L427*M427+R427*F427),4)</f>
        <v>69.569999999999993</v>
      </c>
      <c r="X427" s="207">
        <f>ROUND((L427*I427+1.3*L427*M427+R427*F427),4)</f>
        <v>69.569999999999993</v>
      </c>
      <c r="Y427" s="385">
        <f>ROUND((O427*S427*E427*N427/1000000),4)</f>
        <v>0.1489</v>
      </c>
      <c r="Z427" s="385">
        <f>ROUND((P427*T427*E427*N427/1000000),4)</f>
        <v>0</v>
      </c>
      <c r="AA427" s="385">
        <f>ROUND((Q427*U427*E427*N427/1000000),4)</f>
        <v>0</v>
      </c>
      <c r="AB427" s="931" t="s">
        <v>48</v>
      </c>
      <c r="AC427" s="932" t="s">
        <v>49</v>
      </c>
      <c r="AD427" s="933">
        <f>ROUND((((W427*D427)/1800)*0.8),4)</f>
        <v>3.09E-2</v>
      </c>
      <c r="AE427" s="933">
        <f>ROUND(((Y427+Z427+AA427)*0.8),4)</f>
        <v>0.1191</v>
      </c>
      <c r="AF427" s="61"/>
      <c r="AG427" s="61"/>
      <c r="AH427" s="61"/>
      <c r="AI427" s="61"/>
    </row>
    <row r="428" spans="1:35" s="417" customFormat="1" ht="15" customHeight="1" x14ac:dyDescent="0.2">
      <c r="A428" s="552" t="s">
        <v>492</v>
      </c>
      <c r="B428" s="399" t="s">
        <v>359</v>
      </c>
      <c r="C428" s="387"/>
      <c r="D428" s="209"/>
      <c r="E428" s="209"/>
      <c r="F428" s="209"/>
      <c r="G428" s="209"/>
      <c r="H428" s="209"/>
      <c r="I428" s="209"/>
      <c r="J428" s="209"/>
      <c r="K428" s="209"/>
      <c r="L428" s="209"/>
      <c r="M428" s="209"/>
      <c r="N428" s="209"/>
      <c r="O428" s="209"/>
      <c r="P428" s="209"/>
      <c r="Q428" s="209"/>
      <c r="R428" s="388"/>
      <c r="S428" s="215"/>
      <c r="T428" s="215"/>
      <c r="U428" s="215"/>
      <c r="V428" s="215"/>
      <c r="W428" s="215"/>
      <c r="X428" s="215"/>
      <c r="Y428" s="215"/>
      <c r="Z428" s="215"/>
      <c r="AA428" s="215"/>
      <c r="AB428" s="931" t="s">
        <v>51</v>
      </c>
      <c r="AC428" s="932" t="s">
        <v>52</v>
      </c>
      <c r="AD428" s="933">
        <f>ROUND((((W427*D427)/1800)*0.13),4)</f>
        <v>5.0000000000000001E-3</v>
      </c>
      <c r="AE428" s="933">
        <f>ROUND(((Y427+Z427+AA427)*0.13),4)</f>
        <v>1.9400000000000001E-2</v>
      </c>
      <c r="AF428" s="61"/>
      <c r="AG428" s="61"/>
      <c r="AH428" s="61"/>
      <c r="AI428" s="61"/>
    </row>
    <row r="429" spans="1:35" s="417" customFormat="1" ht="15" customHeight="1" x14ac:dyDescent="0.2">
      <c r="A429" s="558"/>
      <c r="B429" s="387" t="s">
        <v>360</v>
      </c>
      <c r="C429" s="389"/>
      <c r="D429" s="209"/>
      <c r="E429" s="209"/>
      <c r="F429" s="209"/>
      <c r="G429" s="209"/>
      <c r="H429" s="209"/>
      <c r="I429" s="209"/>
      <c r="J429" s="209"/>
      <c r="K429" s="209">
        <v>0.19</v>
      </c>
      <c r="L429" s="209">
        <v>0.23</v>
      </c>
      <c r="M429" s="209"/>
      <c r="N429" s="209"/>
      <c r="O429" s="209"/>
      <c r="P429" s="209"/>
      <c r="Q429" s="209"/>
      <c r="R429" s="133">
        <v>9.7000000000000003E-2</v>
      </c>
      <c r="S429" s="207">
        <f>ROUND((K429*H427+1.3*K429*J427+R429*G427),4)</f>
        <v>69.802499999999995</v>
      </c>
      <c r="T429" s="207">
        <f>ROUND((L429*0.9*H427+1.3*L429*0.9*J427+R429*G427),4)</f>
        <v>75.527299999999997</v>
      </c>
      <c r="U429" s="207">
        <f>ROUND((L429*H427+1.3*L429*J427+R429*G427),4)</f>
        <v>83.272499999999994</v>
      </c>
      <c r="V429" s="207">
        <f>ROUND((K429*I427+1.3*K429*M427+R429*F427),4)</f>
        <v>5.7119999999999997</v>
      </c>
      <c r="W429" s="207">
        <f>ROUND((L429*0.9*I427+1.3*L429*0.9*M427+R429*F427),4)</f>
        <v>6.1710000000000003</v>
      </c>
      <c r="X429" s="207">
        <f>ROUND((L429*I427+1.3*L429*M427+R429*F427),4)</f>
        <v>6.7919999999999998</v>
      </c>
      <c r="Y429" s="385">
        <f>ROUND((O427*S429*E427*N427/1000000),4)</f>
        <v>1.21E-2</v>
      </c>
      <c r="Z429" s="385">
        <f>ROUND((P427*T429*E427*N427/1000000),4)</f>
        <v>0</v>
      </c>
      <c r="AA429" s="385">
        <f>ROUND((Q427*U429*E427*N427/1000000),4)</f>
        <v>0</v>
      </c>
      <c r="AB429" s="931" t="s">
        <v>56</v>
      </c>
      <c r="AC429" s="932" t="s">
        <v>57</v>
      </c>
      <c r="AD429" s="933">
        <f>ROUND((((W429*D427)/1800)),4)</f>
        <v>3.3999999999999998E-3</v>
      </c>
      <c r="AE429" s="933">
        <f>ROUND(((Y429+Z429+AA429)),5)</f>
        <v>1.21E-2</v>
      </c>
      <c r="AF429" s="61"/>
      <c r="AG429" s="61"/>
      <c r="AH429" s="61"/>
      <c r="AI429" s="61"/>
    </row>
    <row r="430" spans="1:35" s="417" customFormat="1" ht="15" customHeight="1" x14ac:dyDescent="0.2">
      <c r="A430" s="558"/>
      <c r="B430" s="387"/>
      <c r="C430" s="387"/>
      <c r="D430" s="209"/>
      <c r="E430" s="209"/>
      <c r="F430" s="209"/>
      <c r="G430" s="209"/>
      <c r="H430" s="209"/>
      <c r="I430" s="209"/>
      <c r="J430" s="209"/>
      <c r="K430" s="209">
        <v>0.43</v>
      </c>
      <c r="L430" s="209">
        <v>0.51</v>
      </c>
      <c r="M430" s="209"/>
      <c r="N430" s="209"/>
      <c r="O430" s="209"/>
      <c r="P430" s="209"/>
      <c r="Q430" s="209"/>
      <c r="R430" s="133">
        <v>0.3</v>
      </c>
      <c r="S430" s="207">
        <f>ROUND((K430*H427+1.3*K430*J427+R430*G427),4)</f>
        <v>162.80250000000001</v>
      </c>
      <c r="T430" s="207">
        <f>ROUND((L430*0.9*H427+1.3*L430*0.9*J427+R430*G427),4)</f>
        <v>172.56829999999999</v>
      </c>
      <c r="U430" s="207">
        <f>ROUND((L430*H427+1.3*L430*J427+R430*G427),4)</f>
        <v>189.74250000000001</v>
      </c>
      <c r="V430" s="207">
        <f>ROUND((K430*I427+1.3*K430*M427+R430*F427),4)</f>
        <v>13.41</v>
      </c>
      <c r="W430" s="207">
        <f>ROUND((L430*0.9*I427+1.3*L430*0.9*M427+R430*F427),4)</f>
        <v>14.193</v>
      </c>
      <c r="X430" s="207">
        <f>ROUND((L430*I427+1.3*M427+R430*F427),4)</f>
        <v>21.94</v>
      </c>
      <c r="Y430" s="385">
        <f>ROUND((O427*S430*E427*N427/1000000),4)</f>
        <v>2.8199999999999999E-2</v>
      </c>
      <c r="Z430" s="385">
        <f>ROUND((P427*T430*E427*N427/1000000),4)</f>
        <v>0</v>
      </c>
      <c r="AA430" s="385">
        <f>ROUND((Q427*U430*E427*N427/1000000),4)</f>
        <v>0</v>
      </c>
      <c r="AB430" s="931" t="s">
        <v>177</v>
      </c>
      <c r="AC430" s="932" t="s">
        <v>178</v>
      </c>
      <c r="AD430" s="933">
        <f>ROUND((((W430*D427)/1800)),4)</f>
        <v>7.9000000000000008E-3</v>
      </c>
      <c r="AE430" s="933">
        <f>ROUND(((Y430+Z430+AA430)),4)</f>
        <v>2.8199999999999999E-2</v>
      </c>
      <c r="AF430" s="61"/>
      <c r="AG430" s="61"/>
      <c r="AH430" s="61"/>
      <c r="AI430" s="61"/>
    </row>
    <row r="431" spans="1:35" s="417" customFormat="1" ht="15" customHeight="1" x14ac:dyDescent="0.2">
      <c r="A431" s="558"/>
      <c r="B431" s="387"/>
      <c r="C431" s="387"/>
      <c r="D431" s="209"/>
      <c r="E431" s="209"/>
      <c r="F431" s="209"/>
      <c r="G431" s="209"/>
      <c r="H431" s="209"/>
      <c r="I431" s="209"/>
      <c r="J431" s="209"/>
      <c r="K431" s="209">
        <v>0.27</v>
      </c>
      <c r="L431" s="209">
        <v>0.41</v>
      </c>
      <c r="M431" s="209"/>
      <c r="N431" s="209"/>
      <c r="O431" s="209"/>
      <c r="P431" s="209"/>
      <c r="Q431" s="209"/>
      <c r="R431" s="133">
        <v>0.06</v>
      </c>
      <c r="S431" s="207">
        <f>ROUND((K431*H427+1.3*K431*J427+R431*G427),4)</f>
        <v>94.522499999999994</v>
      </c>
      <c r="T431" s="207">
        <f>ROUND((L431*0.9*H427+1.3*L431*0.9*J427+R431*G427),4)</f>
        <v>127.8608</v>
      </c>
      <c r="U431" s="207">
        <f>ROUND((L431*H427+1.3*L431*J427+R431*G427),4)</f>
        <v>141.66749999999999</v>
      </c>
      <c r="V431" s="207">
        <f>ROUND((K431*I427+1.3*K431*M427+R431*F427),4)</f>
        <v>7.65</v>
      </c>
      <c r="W431" s="207">
        <f>ROUND((L431*0.9*I427+1.3*L431*0.9*M427+R431*F427),4)</f>
        <v>10.323</v>
      </c>
      <c r="X431" s="207">
        <f>ROUND((L431*I427+1.3*L431*M427+R431*F427),4)</f>
        <v>11.43</v>
      </c>
      <c r="Y431" s="385">
        <f>ROUND((O427*S431*E427*N427/1000000),4)</f>
        <v>1.6400000000000001E-2</v>
      </c>
      <c r="Z431" s="385">
        <f>ROUND((P427*T431*E427*N427/1000000),4)</f>
        <v>0</v>
      </c>
      <c r="AA431" s="385">
        <f>ROUND((Q427*U431*E427*N427/1000000),4)</f>
        <v>0</v>
      </c>
      <c r="AB431" s="931" t="s">
        <v>61</v>
      </c>
      <c r="AC431" s="932" t="s">
        <v>62</v>
      </c>
      <c r="AD431" s="933">
        <f>ROUND((((W431*D427)/1800)),4)</f>
        <v>5.7000000000000002E-3</v>
      </c>
      <c r="AE431" s="933">
        <f>ROUND(((Y431+Z431+AA431)),4)</f>
        <v>1.6400000000000001E-2</v>
      </c>
      <c r="AF431" s="61"/>
      <c r="AG431" s="61"/>
      <c r="AH431" s="61"/>
      <c r="AI431" s="61"/>
    </row>
    <row r="432" spans="1:35" s="417" customFormat="1" ht="15" customHeight="1" x14ac:dyDescent="0.2">
      <c r="A432" s="563"/>
      <c r="B432" s="214"/>
      <c r="C432" s="214"/>
      <c r="D432" s="210"/>
      <c r="E432" s="210"/>
      <c r="F432" s="210"/>
      <c r="G432" s="210"/>
      <c r="H432" s="210"/>
      <c r="I432" s="210"/>
      <c r="J432" s="210"/>
      <c r="K432" s="210">
        <v>1.29</v>
      </c>
      <c r="L432" s="210">
        <v>1.57</v>
      </c>
      <c r="M432" s="210"/>
      <c r="N432" s="210"/>
      <c r="O432" s="210"/>
      <c r="P432" s="210"/>
      <c r="Q432" s="210"/>
      <c r="R432" s="133">
        <v>2.4</v>
      </c>
      <c r="S432" s="134">
        <f>ROUND((K432*H427+1.3*K432*J427+R432*G427),4)</f>
        <v>578.40750000000003</v>
      </c>
      <c r="T432" s="134">
        <f>ROUND((L432*0.9*H427+1.3*L432*0.9*J427+R432*G427),4)</f>
        <v>619.82780000000002</v>
      </c>
      <c r="U432" s="134">
        <f>ROUND((L432*H427+1.3*L432*J427+R432*G427),4)</f>
        <v>672.69749999999999</v>
      </c>
      <c r="V432" s="134">
        <f>ROUND((K432*I427+1.3*K432*M427+R432*F427),4)</f>
        <v>49.23</v>
      </c>
      <c r="W432" s="134">
        <f>ROUND((L432*0.9*I427+1.3*L432*0.9*M427+R432*F427),4)</f>
        <v>52.551000000000002</v>
      </c>
      <c r="X432" s="134">
        <f>ROUND((L432*I427+1.3*L432*M427+R432*F427),4)</f>
        <v>56.79</v>
      </c>
      <c r="Y432" s="394">
        <f>ROUND((O427*S432*E427*N427/1000000),4)</f>
        <v>0.10009999999999999</v>
      </c>
      <c r="Z432" s="394">
        <f>ROUND((P427*T432*E427*N427/1000000),4)</f>
        <v>0</v>
      </c>
      <c r="AA432" s="394">
        <f>ROUND((Q427*U432*E427*N427/1000000),4)</f>
        <v>0</v>
      </c>
      <c r="AB432" s="931" t="s">
        <v>65</v>
      </c>
      <c r="AC432" s="932" t="s">
        <v>66</v>
      </c>
      <c r="AD432" s="933">
        <f>ROUND((((W432*D427)/1800)),4)</f>
        <v>2.92E-2</v>
      </c>
      <c r="AE432" s="933">
        <f>ROUND(((Y432+Z432+AA432)),4)</f>
        <v>0.10009999999999999</v>
      </c>
      <c r="AF432" s="61">
        <f>SUM(AD427:AD432)</f>
        <v>8.2100000000000006E-2</v>
      </c>
      <c r="AG432" s="61">
        <f>SUM(AE427:AE432)</f>
        <v>0.29530000000000001</v>
      </c>
      <c r="AH432" s="61"/>
      <c r="AI432" s="61"/>
    </row>
    <row r="433" spans="1:35" s="417" customFormat="1" ht="15" customHeight="1" x14ac:dyDescent="0.2">
      <c r="A433" s="1449" t="s">
        <v>510</v>
      </c>
      <c r="B433" s="1450"/>
      <c r="C433" s="1451"/>
      <c r="D433" s="1451"/>
      <c r="E433" s="1451"/>
      <c r="F433" s="1451"/>
      <c r="G433" s="1451"/>
      <c r="H433" s="1451"/>
      <c r="I433" s="1451"/>
      <c r="J433" s="1451"/>
      <c r="K433" s="1451"/>
      <c r="L433" s="1451"/>
      <c r="M433" s="1451"/>
      <c r="N433" s="1451"/>
      <c r="O433" s="1451"/>
      <c r="P433" s="1451"/>
      <c r="Q433" s="1451"/>
      <c r="R433" s="1451"/>
      <c r="S433" s="1451"/>
      <c r="T433" s="1451"/>
      <c r="U433" s="1451"/>
      <c r="V433" s="1451"/>
      <c r="W433" s="1451"/>
      <c r="X433" s="1451"/>
      <c r="Y433" s="1451"/>
      <c r="Z433" s="1451"/>
      <c r="AA433" s="1451"/>
      <c r="AB433" s="1451"/>
      <c r="AC433" s="1451"/>
      <c r="AD433" s="1451"/>
      <c r="AE433" s="1452"/>
      <c r="AF433" s="61"/>
      <c r="AG433" s="61"/>
      <c r="AH433" s="61"/>
      <c r="AI433" s="61"/>
    </row>
    <row r="434" spans="1:35" s="417" customFormat="1" ht="15" customHeight="1" x14ac:dyDescent="0.2">
      <c r="A434" s="551" t="s">
        <v>501</v>
      </c>
      <c r="B434" s="398" t="s">
        <v>343</v>
      </c>
      <c r="C434" s="212">
        <v>4</v>
      </c>
      <c r="D434" s="170">
        <v>1</v>
      </c>
      <c r="E434" s="170">
        <v>1</v>
      </c>
      <c r="F434" s="170">
        <v>6</v>
      </c>
      <c r="G434" s="170">
        <v>60</v>
      </c>
      <c r="H434" s="170">
        <f>(8-1-0.75*2)*60*E434-J434-8*0.12*60</f>
        <v>57.900000000000006</v>
      </c>
      <c r="I434" s="170">
        <v>14</v>
      </c>
      <c r="J434" s="170">
        <f>(8-1-0.75*2)*0.65*60*E434</f>
        <v>214.5</v>
      </c>
      <c r="K434" s="170">
        <v>2.4700000000000002</v>
      </c>
      <c r="L434" s="170">
        <v>2.4700000000000002</v>
      </c>
      <c r="M434" s="170">
        <v>10</v>
      </c>
      <c r="N434" s="170">
        <f>D434/E434</f>
        <v>1</v>
      </c>
      <c r="O434" s="170">
        <v>173</v>
      </c>
      <c r="P434" s="170">
        <v>0</v>
      </c>
      <c r="Q434" s="211">
        <v>0</v>
      </c>
      <c r="R434" s="170">
        <v>0.48</v>
      </c>
      <c r="S434" s="207">
        <f>ROUND((K434*H434+1.3*K434*J434+R434*G434),4)</f>
        <v>860.57249999999999</v>
      </c>
      <c r="T434" s="207">
        <f>ROUND((L434*H434+1.3*L434*J434+R434*G434),4)</f>
        <v>860.57249999999999</v>
      </c>
      <c r="U434" s="207">
        <f>ROUND((L434*H434+1.3*L434*J434+R434*G434),4)</f>
        <v>860.57249999999999</v>
      </c>
      <c r="V434" s="207">
        <f>ROUND((K434*I434+1.3*K434*M434+R434*F434),4)</f>
        <v>69.569999999999993</v>
      </c>
      <c r="W434" s="207">
        <f>ROUND((L434*I434+1.3*L434*M434+R434*F434),4)</f>
        <v>69.569999999999993</v>
      </c>
      <c r="X434" s="207">
        <f>ROUND((L434*I434+1.3*L434*M434+R434*F434),4)</f>
        <v>69.569999999999993</v>
      </c>
      <c r="Y434" s="385">
        <f>ROUND((O434*S434*E434*N434/1000000),4)</f>
        <v>0.1489</v>
      </c>
      <c r="Z434" s="385">
        <f>ROUND((P434*T434*E434*N434/1000000),4)</f>
        <v>0</v>
      </c>
      <c r="AA434" s="385">
        <f>ROUND((Q434*U434*E434*N434/1000000),4)</f>
        <v>0</v>
      </c>
      <c r="AB434" s="931" t="s">
        <v>48</v>
      </c>
      <c r="AC434" s="932" t="s">
        <v>49</v>
      </c>
      <c r="AD434" s="933">
        <f>ROUND((((W434*D434)/1800)*0.8),4)</f>
        <v>3.09E-2</v>
      </c>
      <c r="AE434" s="933">
        <f>ROUND(((Y434+Z434+AA434)*0.8),4)</f>
        <v>0.1191</v>
      </c>
      <c r="AF434" s="61"/>
      <c r="AG434" s="61"/>
      <c r="AH434" s="61"/>
      <c r="AI434" s="61"/>
    </row>
    <row r="435" spans="1:35" s="417" customFormat="1" ht="15" customHeight="1" x14ac:dyDescent="0.2">
      <c r="A435" s="552" t="s">
        <v>492</v>
      </c>
      <c r="B435" s="399" t="s">
        <v>359</v>
      </c>
      <c r="C435" s="387"/>
      <c r="D435" s="209"/>
      <c r="E435" s="209"/>
      <c r="F435" s="209"/>
      <c r="G435" s="209"/>
      <c r="H435" s="209"/>
      <c r="I435" s="209"/>
      <c r="J435" s="209"/>
      <c r="K435" s="209"/>
      <c r="L435" s="209"/>
      <c r="M435" s="209"/>
      <c r="N435" s="209"/>
      <c r="O435" s="209"/>
      <c r="P435" s="209"/>
      <c r="Q435" s="209"/>
      <c r="R435" s="388"/>
      <c r="S435" s="215"/>
      <c r="T435" s="215"/>
      <c r="U435" s="215"/>
      <c r="V435" s="215"/>
      <c r="W435" s="215"/>
      <c r="X435" s="215"/>
      <c r="Y435" s="215"/>
      <c r="Z435" s="215"/>
      <c r="AA435" s="215"/>
      <c r="AB435" s="931" t="s">
        <v>51</v>
      </c>
      <c r="AC435" s="932" t="s">
        <v>52</v>
      </c>
      <c r="AD435" s="933">
        <f>ROUND((((W434*D434)/1800)*0.13),4)</f>
        <v>5.0000000000000001E-3</v>
      </c>
      <c r="AE435" s="933">
        <f>ROUND(((Y434+Z434+AA434)*0.13),4)</f>
        <v>1.9400000000000001E-2</v>
      </c>
      <c r="AF435" s="61"/>
      <c r="AG435" s="61"/>
      <c r="AH435" s="61"/>
      <c r="AI435" s="61"/>
    </row>
    <row r="436" spans="1:35" s="417" customFormat="1" ht="15" customHeight="1" x14ac:dyDescent="0.2">
      <c r="A436" s="558"/>
      <c r="B436" s="387" t="s">
        <v>360</v>
      </c>
      <c r="C436" s="389"/>
      <c r="D436" s="209"/>
      <c r="E436" s="209"/>
      <c r="F436" s="209"/>
      <c r="G436" s="209"/>
      <c r="H436" s="209"/>
      <c r="I436" s="209"/>
      <c r="J436" s="209"/>
      <c r="K436" s="209">
        <v>0.19</v>
      </c>
      <c r="L436" s="209">
        <v>0.23</v>
      </c>
      <c r="M436" s="209"/>
      <c r="N436" s="209"/>
      <c r="O436" s="209"/>
      <c r="P436" s="209"/>
      <c r="Q436" s="209"/>
      <c r="R436" s="133">
        <v>9.7000000000000003E-2</v>
      </c>
      <c r="S436" s="207">
        <f>ROUND((K436*H434+1.3*K436*J434+R436*G434),4)</f>
        <v>69.802499999999995</v>
      </c>
      <c r="T436" s="207">
        <f>ROUND((L436*0.9*H434+1.3*L436*0.9*J434+R436*G434),4)</f>
        <v>75.527299999999997</v>
      </c>
      <c r="U436" s="207">
        <f>ROUND((L436*H434+1.3*L436*J434+R436*G434),4)</f>
        <v>83.272499999999994</v>
      </c>
      <c r="V436" s="207">
        <f>ROUND((K436*I434+1.3*K436*M434+R436*F434),4)</f>
        <v>5.7119999999999997</v>
      </c>
      <c r="W436" s="207">
        <f>ROUND((L436*0.9*I434+1.3*L436*0.9*M434+R436*F434),4)</f>
        <v>6.1710000000000003</v>
      </c>
      <c r="X436" s="207">
        <f>ROUND((L436*I434+1.3*L436*M434+R436*F434),4)</f>
        <v>6.7919999999999998</v>
      </c>
      <c r="Y436" s="385">
        <f>ROUND((O434*S436*E434*N434/1000000),4)</f>
        <v>1.21E-2</v>
      </c>
      <c r="Z436" s="385">
        <f>ROUND((P434*T436*E434*N434/1000000),4)</f>
        <v>0</v>
      </c>
      <c r="AA436" s="385">
        <f>ROUND((Q434*U436*E434*N434/1000000),4)</f>
        <v>0</v>
      </c>
      <c r="AB436" s="931" t="s">
        <v>56</v>
      </c>
      <c r="AC436" s="932" t="s">
        <v>57</v>
      </c>
      <c r="AD436" s="933">
        <f>ROUND((((W436*D434)/1800)),4)</f>
        <v>3.3999999999999998E-3</v>
      </c>
      <c r="AE436" s="933">
        <f>ROUND(((Y436+Z436+AA436)),5)</f>
        <v>1.21E-2</v>
      </c>
      <c r="AF436" s="61"/>
      <c r="AG436" s="61"/>
      <c r="AH436" s="61"/>
      <c r="AI436" s="61"/>
    </row>
    <row r="437" spans="1:35" s="417" customFormat="1" ht="15" customHeight="1" x14ac:dyDescent="0.2">
      <c r="A437" s="558"/>
      <c r="B437" s="387"/>
      <c r="C437" s="387"/>
      <c r="D437" s="209"/>
      <c r="E437" s="209"/>
      <c r="F437" s="209"/>
      <c r="G437" s="209"/>
      <c r="H437" s="209"/>
      <c r="I437" s="209"/>
      <c r="J437" s="209"/>
      <c r="K437" s="209">
        <v>0.43</v>
      </c>
      <c r="L437" s="209">
        <v>0.51</v>
      </c>
      <c r="M437" s="209"/>
      <c r="N437" s="209"/>
      <c r="O437" s="209"/>
      <c r="P437" s="209"/>
      <c r="Q437" s="209"/>
      <c r="R437" s="133">
        <v>0.3</v>
      </c>
      <c r="S437" s="207">
        <f>ROUND((K437*H434+1.3*K437*J434+R437*G434),4)</f>
        <v>162.80250000000001</v>
      </c>
      <c r="T437" s="207">
        <f>ROUND((L437*0.9*H434+1.3*L437*0.9*J434+R437*G434),4)</f>
        <v>172.56829999999999</v>
      </c>
      <c r="U437" s="207">
        <f>ROUND((L437*H434+1.3*L437*J434+R437*G434),4)</f>
        <v>189.74250000000001</v>
      </c>
      <c r="V437" s="207">
        <f>ROUND((K437*I434+1.3*K437*M434+R437*F434),4)</f>
        <v>13.41</v>
      </c>
      <c r="W437" s="207">
        <f>ROUND((L437*0.9*I434+1.3*L437*0.9*M434+R437*F434),4)</f>
        <v>14.193</v>
      </c>
      <c r="X437" s="207">
        <f>ROUND((L437*I434+1.3*M434+R437*F434),4)</f>
        <v>21.94</v>
      </c>
      <c r="Y437" s="385">
        <f>ROUND((O434*S437*E434*N434/1000000),4)</f>
        <v>2.8199999999999999E-2</v>
      </c>
      <c r="Z437" s="385">
        <f>ROUND((P434*T437*E434*N434/1000000),4)</f>
        <v>0</v>
      </c>
      <c r="AA437" s="385">
        <f>ROUND((Q434*U437*E434*N434/1000000),4)</f>
        <v>0</v>
      </c>
      <c r="AB437" s="931" t="s">
        <v>177</v>
      </c>
      <c r="AC437" s="932" t="s">
        <v>178</v>
      </c>
      <c r="AD437" s="933">
        <f>ROUND((((W437*D434)/1800)),4)</f>
        <v>7.9000000000000008E-3</v>
      </c>
      <c r="AE437" s="933">
        <f>ROUND(((Y437+Z437+AA437)),4)</f>
        <v>2.8199999999999999E-2</v>
      </c>
      <c r="AF437" s="61"/>
      <c r="AG437" s="61"/>
      <c r="AH437" s="61"/>
      <c r="AI437" s="61"/>
    </row>
    <row r="438" spans="1:35" s="417" customFormat="1" ht="15" customHeight="1" x14ac:dyDescent="0.2">
      <c r="A438" s="558"/>
      <c r="B438" s="387"/>
      <c r="C438" s="387"/>
      <c r="D438" s="209"/>
      <c r="E438" s="209"/>
      <c r="F438" s="209"/>
      <c r="G438" s="209"/>
      <c r="H438" s="209"/>
      <c r="I438" s="209"/>
      <c r="J438" s="209"/>
      <c r="K438" s="209">
        <v>0.27</v>
      </c>
      <c r="L438" s="209">
        <v>0.41</v>
      </c>
      <c r="M438" s="209"/>
      <c r="N438" s="209"/>
      <c r="O438" s="209"/>
      <c r="P438" s="209"/>
      <c r="Q438" s="209"/>
      <c r="R438" s="133">
        <v>0.06</v>
      </c>
      <c r="S438" s="207">
        <f>ROUND((K438*H434+1.3*K438*J434+R438*G434),4)</f>
        <v>94.522499999999994</v>
      </c>
      <c r="T438" s="207">
        <f>ROUND((L438*0.9*H434+1.3*L438*0.9*J434+R438*G434),4)</f>
        <v>127.8608</v>
      </c>
      <c r="U438" s="207">
        <f>ROUND((L438*H434+1.3*L438*J434+R438*G434),4)</f>
        <v>141.66749999999999</v>
      </c>
      <c r="V438" s="207">
        <f>ROUND((K438*I434+1.3*K438*M434+R438*F434),4)</f>
        <v>7.65</v>
      </c>
      <c r="W438" s="207">
        <f>ROUND((L438*0.9*I434+1.3*L438*0.9*M434+R438*F434),4)</f>
        <v>10.323</v>
      </c>
      <c r="X438" s="207">
        <f>ROUND((L438*I434+1.3*L438*M434+R438*F434),4)</f>
        <v>11.43</v>
      </c>
      <c r="Y438" s="385">
        <f>ROUND((O434*S438*E434*N434/1000000),4)</f>
        <v>1.6400000000000001E-2</v>
      </c>
      <c r="Z438" s="385">
        <f>ROUND((P434*T438*E434*N434/1000000),4)</f>
        <v>0</v>
      </c>
      <c r="AA438" s="385">
        <f>ROUND((Q434*U438*E434*N434/1000000),4)</f>
        <v>0</v>
      </c>
      <c r="AB438" s="931" t="s">
        <v>61</v>
      </c>
      <c r="AC438" s="932" t="s">
        <v>62</v>
      </c>
      <c r="AD438" s="933">
        <f>ROUND((((W438*D434)/1800)),4)</f>
        <v>5.7000000000000002E-3</v>
      </c>
      <c r="AE438" s="933">
        <f>ROUND(((Y438+Z438+AA438)),4)</f>
        <v>1.6400000000000001E-2</v>
      </c>
      <c r="AF438" s="61"/>
      <c r="AG438" s="61"/>
      <c r="AH438" s="61"/>
      <c r="AI438" s="61"/>
    </row>
    <row r="439" spans="1:35" s="417" customFormat="1" ht="15" customHeight="1" x14ac:dyDescent="0.2">
      <c r="A439" s="563"/>
      <c r="B439" s="214"/>
      <c r="C439" s="214"/>
      <c r="D439" s="210"/>
      <c r="E439" s="210"/>
      <c r="F439" s="210"/>
      <c r="G439" s="210"/>
      <c r="H439" s="210"/>
      <c r="I439" s="210"/>
      <c r="J439" s="210"/>
      <c r="K439" s="210">
        <v>1.29</v>
      </c>
      <c r="L439" s="210">
        <v>1.57</v>
      </c>
      <c r="M439" s="210"/>
      <c r="N439" s="210"/>
      <c r="O439" s="210"/>
      <c r="P439" s="210"/>
      <c r="Q439" s="210"/>
      <c r="R439" s="133">
        <v>2.4</v>
      </c>
      <c r="S439" s="134">
        <f>ROUND((K439*H434+1.3*K439*J434+R439*G434),4)</f>
        <v>578.40750000000003</v>
      </c>
      <c r="T439" s="134">
        <f>ROUND((L439*0.9*H434+1.3*L439*0.9*J434+R439*G434),4)</f>
        <v>619.82780000000002</v>
      </c>
      <c r="U439" s="134">
        <f>ROUND((L439*H434+1.3*L439*J434+R439*G434),4)</f>
        <v>672.69749999999999</v>
      </c>
      <c r="V439" s="134">
        <f>ROUND((K439*I434+1.3*K439*M434+R439*F434),4)</f>
        <v>49.23</v>
      </c>
      <c r="W439" s="134">
        <f>ROUND((L439*0.9*I434+1.3*L439*0.9*M434+R439*F434),4)</f>
        <v>52.551000000000002</v>
      </c>
      <c r="X439" s="134">
        <f>ROUND((L439*I434+1.3*L439*M434+R439*F434),4)</f>
        <v>56.79</v>
      </c>
      <c r="Y439" s="394">
        <f>ROUND((O434*S439*E434*N434/1000000),4)</f>
        <v>0.10009999999999999</v>
      </c>
      <c r="Z439" s="394">
        <f>ROUND((P434*T439*E434*N434/1000000),4)</f>
        <v>0</v>
      </c>
      <c r="AA439" s="394">
        <f>ROUND((Q434*U439*E434*N434/1000000),4)</f>
        <v>0</v>
      </c>
      <c r="AB439" s="931" t="s">
        <v>65</v>
      </c>
      <c r="AC439" s="932" t="s">
        <v>66</v>
      </c>
      <c r="AD439" s="933">
        <f>ROUND((((W439*D434)/1800)),4)</f>
        <v>2.92E-2</v>
      </c>
      <c r="AE439" s="933">
        <f>ROUND(((Y439+Z439+AA439)),4)</f>
        <v>0.10009999999999999</v>
      </c>
      <c r="AF439" s="61">
        <f>SUM(AD434:AD439)</f>
        <v>8.2100000000000006E-2</v>
      </c>
      <c r="AG439" s="61">
        <f>SUM(AE434:AE439)</f>
        <v>0.29530000000000001</v>
      </c>
      <c r="AH439" s="61"/>
      <c r="AI439" s="61"/>
    </row>
    <row r="440" spans="1:35" s="417" customFormat="1" ht="15" customHeight="1" x14ac:dyDescent="0.2">
      <c r="A440" s="1449" t="s">
        <v>513</v>
      </c>
      <c r="B440" s="1450"/>
      <c r="C440" s="1451"/>
      <c r="D440" s="1451"/>
      <c r="E440" s="1451"/>
      <c r="F440" s="1451"/>
      <c r="G440" s="1451"/>
      <c r="H440" s="1451"/>
      <c r="I440" s="1451"/>
      <c r="J440" s="1451"/>
      <c r="K440" s="1451"/>
      <c r="L440" s="1451"/>
      <c r="M440" s="1451"/>
      <c r="N440" s="1451"/>
      <c r="O440" s="1451"/>
      <c r="P440" s="1451"/>
      <c r="Q440" s="1451"/>
      <c r="R440" s="1451"/>
      <c r="S440" s="1451"/>
      <c r="T440" s="1451"/>
      <c r="U440" s="1451"/>
      <c r="V440" s="1451"/>
      <c r="W440" s="1451"/>
      <c r="X440" s="1451"/>
      <c r="Y440" s="1451"/>
      <c r="Z440" s="1451"/>
      <c r="AA440" s="1451"/>
      <c r="AB440" s="1451"/>
      <c r="AC440" s="1451"/>
      <c r="AD440" s="1451"/>
      <c r="AE440" s="1452"/>
      <c r="AF440" s="61"/>
      <c r="AG440" s="61"/>
      <c r="AH440" s="61"/>
      <c r="AI440" s="61"/>
    </row>
    <row r="441" spans="1:35" s="417" customFormat="1" ht="15" customHeight="1" x14ac:dyDescent="0.2">
      <c r="A441" s="551" t="s">
        <v>503</v>
      </c>
      <c r="B441" s="398" t="s">
        <v>343</v>
      </c>
      <c r="C441" s="212">
        <v>4</v>
      </c>
      <c r="D441" s="170">
        <v>1</v>
      </c>
      <c r="E441" s="170">
        <v>1</v>
      </c>
      <c r="F441" s="170">
        <v>6</v>
      </c>
      <c r="G441" s="170">
        <v>60</v>
      </c>
      <c r="H441" s="170">
        <f>(8-1-0.75*2)*60*E441-J441-8*0.12*60</f>
        <v>57.900000000000006</v>
      </c>
      <c r="I441" s="170">
        <v>14</v>
      </c>
      <c r="J441" s="170">
        <f>(8-1-0.75*2)*0.65*60*E441</f>
        <v>214.5</v>
      </c>
      <c r="K441" s="170">
        <v>2.4700000000000002</v>
      </c>
      <c r="L441" s="170">
        <v>2.4700000000000002</v>
      </c>
      <c r="M441" s="170">
        <v>10</v>
      </c>
      <c r="N441" s="170">
        <f>D441/E441</f>
        <v>1</v>
      </c>
      <c r="O441" s="170">
        <v>173</v>
      </c>
      <c r="P441" s="170">
        <v>0</v>
      </c>
      <c r="Q441" s="211">
        <v>0</v>
      </c>
      <c r="R441" s="170">
        <v>0.48</v>
      </c>
      <c r="S441" s="207">
        <f>ROUND((K441*H441+1.3*K441*J441+R441*G441),4)</f>
        <v>860.57249999999999</v>
      </c>
      <c r="T441" s="207">
        <f>ROUND((L441*H441+1.3*L441*J441+R441*G441),4)</f>
        <v>860.57249999999999</v>
      </c>
      <c r="U441" s="207">
        <f>ROUND((L441*H441+1.3*L441*J441+R441*G441),4)</f>
        <v>860.57249999999999</v>
      </c>
      <c r="V441" s="207">
        <f>ROUND((K441*I441+1.3*K441*M441+R441*F441),4)</f>
        <v>69.569999999999993</v>
      </c>
      <c r="W441" s="207">
        <f>ROUND((L441*I441+1.3*L441*M441+R441*F441),4)</f>
        <v>69.569999999999993</v>
      </c>
      <c r="X441" s="207">
        <f>ROUND((L441*I441+1.3*L441*M441+R441*F441),4)</f>
        <v>69.569999999999993</v>
      </c>
      <c r="Y441" s="385">
        <f>ROUND((O441*S441*E441*N441/1000000),4)</f>
        <v>0.1489</v>
      </c>
      <c r="Z441" s="385">
        <f>ROUND((P441*T441*E441*N441/1000000),4)</f>
        <v>0</v>
      </c>
      <c r="AA441" s="385">
        <f>ROUND((Q441*U441*E441*N441/1000000),4)</f>
        <v>0</v>
      </c>
      <c r="AB441" s="931" t="s">
        <v>48</v>
      </c>
      <c r="AC441" s="932" t="s">
        <v>49</v>
      </c>
      <c r="AD441" s="933">
        <f>ROUND((((W441*D441)/1800)*0.8),4)</f>
        <v>3.09E-2</v>
      </c>
      <c r="AE441" s="933">
        <f>ROUND(((Y441+Z441+AA441)*0.8),4)</f>
        <v>0.1191</v>
      </c>
      <c r="AF441" s="61"/>
      <c r="AG441" s="61"/>
      <c r="AH441" s="61"/>
      <c r="AI441" s="61"/>
    </row>
    <row r="442" spans="1:35" s="417" customFormat="1" ht="15" customHeight="1" x14ac:dyDescent="0.2">
      <c r="A442" s="552" t="s">
        <v>492</v>
      </c>
      <c r="B442" s="399" t="s">
        <v>359</v>
      </c>
      <c r="C442" s="387"/>
      <c r="D442" s="209"/>
      <c r="E442" s="209"/>
      <c r="F442" s="209"/>
      <c r="G442" s="209"/>
      <c r="H442" s="209"/>
      <c r="I442" s="209"/>
      <c r="J442" s="209"/>
      <c r="K442" s="209"/>
      <c r="L442" s="209"/>
      <c r="M442" s="209"/>
      <c r="N442" s="209"/>
      <c r="O442" s="209"/>
      <c r="P442" s="209"/>
      <c r="Q442" s="209"/>
      <c r="R442" s="388"/>
      <c r="S442" s="215"/>
      <c r="T442" s="215"/>
      <c r="U442" s="215"/>
      <c r="V442" s="215"/>
      <c r="W442" s="215"/>
      <c r="X442" s="215"/>
      <c r="Y442" s="215"/>
      <c r="Z442" s="215"/>
      <c r="AA442" s="215"/>
      <c r="AB442" s="931" t="s">
        <v>51</v>
      </c>
      <c r="AC442" s="932" t="s">
        <v>52</v>
      </c>
      <c r="AD442" s="933">
        <f>ROUND((((W441*D441)/1800)*0.13),4)</f>
        <v>5.0000000000000001E-3</v>
      </c>
      <c r="AE442" s="933">
        <f>ROUND(((Y441+Z441+AA441)*0.13),4)</f>
        <v>1.9400000000000001E-2</v>
      </c>
      <c r="AF442" s="61"/>
      <c r="AG442" s="61"/>
      <c r="AH442" s="61"/>
      <c r="AI442" s="61"/>
    </row>
    <row r="443" spans="1:35" s="417" customFormat="1" ht="15" customHeight="1" x14ac:dyDescent="0.2">
      <c r="A443" s="558"/>
      <c r="B443" s="387" t="s">
        <v>360</v>
      </c>
      <c r="C443" s="389"/>
      <c r="D443" s="209"/>
      <c r="E443" s="209"/>
      <c r="F443" s="209"/>
      <c r="G443" s="209"/>
      <c r="H443" s="209"/>
      <c r="I443" s="209"/>
      <c r="J443" s="209"/>
      <c r="K443" s="209">
        <v>0.19</v>
      </c>
      <c r="L443" s="209">
        <v>0.23</v>
      </c>
      <c r="M443" s="209"/>
      <c r="N443" s="209"/>
      <c r="O443" s="209"/>
      <c r="P443" s="209"/>
      <c r="Q443" s="209"/>
      <c r="R443" s="133">
        <v>9.7000000000000003E-2</v>
      </c>
      <c r="S443" s="207">
        <f>ROUND((K443*H441+1.3*K443*J441+R443*G441),4)</f>
        <v>69.802499999999995</v>
      </c>
      <c r="T443" s="207">
        <f>ROUND((L443*0.9*H441+1.3*L443*0.9*J441+R443*G441),4)</f>
        <v>75.527299999999997</v>
      </c>
      <c r="U443" s="207">
        <f>ROUND((L443*H441+1.3*L443*J441+R443*G441),4)</f>
        <v>83.272499999999994</v>
      </c>
      <c r="V443" s="207">
        <f>ROUND((K443*I441+1.3*K443*M441+R443*F441),4)</f>
        <v>5.7119999999999997</v>
      </c>
      <c r="W443" s="207">
        <f>ROUND((L443*0.9*I441+1.3*L443*0.9*M441+R443*F441),4)</f>
        <v>6.1710000000000003</v>
      </c>
      <c r="X443" s="207">
        <f>ROUND((L443*I441+1.3*L443*M441+R443*F441),4)</f>
        <v>6.7919999999999998</v>
      </c>
      <c r="Y443" s="385">
        <f>ROUND((O441*S443*E441*N441/1000000),4)</f>
        <v>1.21E-2</v>
      </c>
      <c r="Z443" s="385">
        <f>ROUND((P441*T443*E441*N441/1000000),4)</f>
        <v>0</v>
      </c>
      <c r="AA443" s="385">
        <f>ROUND((Q441*U443*E441*N441/1000000),4)</f>
        <v>0</v>
      </c>
      <c r="AB443" s="931" t="s">
        <v>56</v>
      </c>
      <c r="AC443" s="932" t="s">
        <v>57</v>
      </c>
      <c r="AD443" s="933">
        <f>ROUND((((W443*D441)/1800)),4)</f>
        <v>3.3999999999999998E-3</v>
      </c>
      <c r="AE443" s="933">
        <f>ROUND(((Y443+Z443+AA443)),5)</f>
        <v>1.21E-2</v>
      </c>
      <c r="AF443" s="61"/>
      <c r="AG443" s="61"/>
      <c r="AH443" s="61"/>
      <c r="AI443" s="61"/>
    </row>
    <row r="444" spans="1:35" s="417" customFormat="1" ht="15" customHeight="1" x14ac:dyDescent="0.2">
      <c r="A444" s="558"/>
      <c r="B444" s="387"/>
      <c r="C444" s="387"/>
      <c r="D444" s="209"/>
      <c r="E444" s="209"/>
      <c r="F444" s="209"/>
      <c r="G444" s="209"/>
      <c r="H444" s="209"/>
      <c r="I444" s="209"/>
      <c r="J444" s="209"/>
      <c r="K444" s="209">
        <v>0.43</v>
      </c>
      <c r="L444" s="209">
        <v>0.51</v>
      </c>
      <c r="M444" s="209"/>
      <c r="N444" s="209"/>
      <c r="O444" s="209"/>
      <c r="P444" s="209"/>
      <c r="Q444" s="209"/>
      <c r="R444" s="133">
        <v>0.3</v>
      </c>
      <c r="S444" s="207">
        <f>ROUND((K444*H441+1.3*K444*J441+R444*G441),4)</f>
        <v>162.80250000000001</v>
      </c>
      <c r="T444" s="207">
        <f>ROUND((L444*0.9*H441+1.3*L444*0.9*J441+R444*G441),4)</f>
        <v>172.56829999999999</v>
      </c>
      <c r="U444" s="207">
        <f>ROUND((L444*H441+1.3*L444*J441+R444*G441),4)</f>
        <v>189.74250000000001</v>
      </c>
      <c r="V444" s="207">
        <f>ROUND((K444*I441+1.3*K444*M441+R444*F441),4)</f>
        <v>13.41</v>
      </c>
      <c r="W444" s="207">
        <f>ROUND((L444*0.9*I441+1.3*L444*0.9*M441+R444*F441),4)</f>
        <v>14.193</v>
      </c>
      <c r="X444" s="207">
        <f>ROUND((L444*I441+1.3*M441+R444*F441),4)</f>
        <v>21.94</v>
      </c>
      <c r="Y444" s="385">
        <f>ROUND((O441*S444*E441*N441/1000000),4)</f>
        <v>2.8199999999999999E-2</v>
      </c>
      <c r="Z444" s="385">
        <f>ROUND((P441*T444*E441*N441/1000000),4)</f>
        <v>0</v>
      </c>
      <c r="AA444" s="385">
        <f>ROUND((Q441*U444*E441*N441/1000000),4)</f>
        <v>0</v>
      </c>
      <c r="AB444" s="931" t="s">
        <v>177</v>
      </c>
      <c r="AC444" s="932" t="s">
        <v>178</v>
      </c>
      <c r="AD444" s="933">
        <f>ROUND((((W444*D441)/1800)),4)</f>
        <v>7.9000000000000008E-3</v>
      </c>
      <c r="AE444" s="933">
        <f>ROUND(((Y444+Z444+AA444)),4)</f>
        <v>2.8199999999999999E-2</v>
      </c>
      <c r="AF444" s="61"/>
      <c r="AG444" s="61"/>
      <c r="AH444" s="61"/>
      <c r="AI444" s="61"/>
    </row>
    <row r="445" spans="1:35" s="417" customFormat="1" ht="15" customHeight="1" x14ac:dyDescent="0.2">
      <c r="A445" s="558"/>
      <c r="B445" s="387"/>
      <c r="C445" s="387"/>
      <c r="D445" s="209"/>
      <c r="E445" s="209"/>
      <c r="F445" s="209"/>
      <c r="G445" s="209"/>
      <c r="H445" s="209"/>
      <c r="I445" s="209"/>
      <c r="J445" s="209"/>
      <c r="K445" s="209">
        <v>0.27</v>
      </c>
      <c r="L445" s="209">
        <v>0.41</v>
      </c>
      <c r="M445" s="209"/>
      <c r="N445" s="209"/>
      <c r="O445" s="209"/>
      <c r="P445" s="209"/>
      <c r="Q445" s="209"/>
      <c r="R445" s="133">
        <v>0.06</v>
      </c>
      <c r="S445" s="207">
        <f>ROUND((K445*H441+1.3*K445*J441+R445*G441),4)</f>
        <v>94.522499999999994</v>
      </c>
      <c r="T445" s="207">
        <f>ROUND((L445*0.9*H441+1.3*L445*0.9*J441+R445*G441),4)</f>
        <v>127.8608</v>
      </c>
      <c r="U445" s="207">
        <f>ROUND((L445*H441+1.3*L445*J441+R445*G441),4)</f>
        <v>141.66749999999999</v>
      </c>
      <c r="V445" s="207">
        <f>ROUND((K445*I441+1.3*K445*M441+R445*F441),4)</f>
        <v>7.65</v>
      </c>
      <c r="W445" s="207">
        <f>ROUND((L445*0.9*I441+1.3*L445*0.9*M441+R445*F441),4)</f>
        <v>10.323</v>
      </c>
      <c r="X445" s="207">
        <f>ROUND((L445*I441+1.3*L445*M441+R445*F441),4)</f>
        <v>11.43</v>
      </c>
      <c r="Y445" s="385">
        <f>ROUND((O441*S445*E441*N441/1000000),4)</f>
        <v>1.6400000000000001E-2</v>
      </c>
      <c r="Z445" s="385">
        <f>ROUND((P441*T445*E441*N441/1000000),4)</f>
        <v>0</v>
      </c>
      <c r="AA445" s="385">
        <f>ROUND((Q441*U445*E441*N441/1000000),4)</f>
        <v>0</v>
      </c>
      <c r="AB445" s="931" t="s">
        <v>61</v>
      </c>
      <c r="AC445" s="932" t="s">
        <v>62</v>
      </c>
      <c r="AD445" s="933">
        <f>ROUND((((W445*D441)/1800)),4)</f>
        <v>5.7000000000000002E-3</v>
      </c>
      <c r="AE445" s="933">
        <f>ROUND(((Y445+Z445+AA445)),4)</f>
        <v>1.6400000000000001E-2</v>
      </c>
      <c r="AF445" s="61"/>
      <c r="AG445" s="61"/>
      <c r="AH445" s="61"/>
      <c r="AI445" s="61"/>
    </row>
    <row r="446" spans="1:35" s="417" customFormat="1" ht="15" customHeight="1" x14ac:dyDescent="0.2">
      <c r="A446" s="563"/>
      <c r="B446" s="214"/>
      <c r="C446" s="214"/>
      <c r="D446" s="210"/>
      <c r="E446" s="210"/>
      <c r="F446" s="210"/>
      <c r="G446" s="210"/>
      <c r="H446" s="210"/>
      <c r="I446" s="210"/>
      <c r="J446" s="210"/>
      <c r="K446" s="210">
        <v>1.29</v>
      </c>
      <c r="L446" s="210">
        <v>1.57</v>
      </c>
      <c r="M446" s="210"/>
      <c r="N446" s="210"/>
      <c r="O446" s="210"/>
      <c r="P446" s="210"/>
      <c r="Q446" s="210"/>
      <c r="R446" s="133">
        <v>2.4</v>
      </c>
      <c r="S446" s="134">
        <f>ROUND((K446*H441+1.3*K446*J441+R446*G441),4)</f>
        <v>578.40750000000003</v>
      </c>
      <c r="T446" s="134">
        <f>ROUND((L446*0.9*H441+1.3*L446*0.9*J441+R446*G441),4)</f>
        <v>619.82780000000002</v>
      </c>
      <c r="U446" s="134">
        <f>ROUND((L446*H441+1.3*L446*J441+R446*G441),4)</f>
        <v>672.69749999999999</v>
      </c>
      <c r="V446" s="134">
        <f>ROUND((K446*I441+1.3*K446*M441+R446*F441),4)</f>
        <v>49.23</v>
      </c>
      <c r="W446" s="134">
        <f>ROUND((L446*0.9*I441+1.3*L446*0.9*M441+R446*F441),4)</f>
        <v>52.551000000000002</v>
      </c>
      <c r="X446" s="134">
        <f>ROUND((L446*I441+1.3*L446*M441+R446*F441),4)</f>
        <v>56.79</v>
      </c>
      <c r="Y446" s="394">
        <f>ROUND((O441*S446*E441*N441/1000000),4)</f>
        <v>0.10009999999999999</v>
      </c>
      <c r="Z446" s="394">
        <f>ROUND((P441*T446*E441*N441/1000000),4)</f>
        <v>0</v>
      </c>
      <c r="AA446" s="394">
        <f>ROUND((Q441*U446*E441*N441/1000000),4)</f>
        <v>0</v>
      </c>
      <c r="AB446" s="931" t="s">
        <v>65</v>
      </c>
      <c r="AC446" s="932" t="s">
        <v>66</v>
      </c>
      <c r="AD446" s="933">
        <f>ROUND((((W446*D441)/1800)),4)</f>
        <v>2.92E-2</v>
      </c>
      <c r="AE446" s="933">
        <f>ROUND(((Y446+Z446+AA446)),4)</f>
        <v>0.10009999999999999</v>
      </c>
      <c r="AF446" s="61">
        <f>SUM(AD441:AD446)</f>
        <v>8.2100000000000006E-2</v>
      </c>
      <c r="AG446" s="61">
        <f>SUM(AE441:AE446)</f>
        <v>0.29530000000000001</v>
      </c>
      <c r="AH446" s="61"/>
      <c r="AI446" s="61"/>
    </row>
    <row r="447" spans="1:35" s="417" customFormat="1" ht="15" customHeight="1" x14ac:dyDescent="0.2">
      <c r="A447" s="1449" t="s">
        <v>516</v>
      </c>
      <c r="B447" s="1450"/>
      <c r="C447" s="1451"/>
      <c r="D447" s="1451"/>
      <c r="E447" s="1451"/>
      <c r="F447" s="1451"/>
      <c r="G447" s="1451"/>
      <c r="H447" s="1451"/>
      <c r="I447" s="1451"/>
      <c r="J447" s="1451"/>
      <c r="K447" s="1451"/>
      <c r="L447" s="1451"/>
      <c r="M447" s="1451"/>
      <c r="N447" s="1451"/>
      <c r="O447" s="1451"/>
      <c r="P447" s="1451"/>
      <c r="Q447" s="1451"/>
      <c r="R447" s="1451"/>
      <c r="S447" s="1451"/>
      <c r="T447" s="1451"/>
      <c r="U447" s="1451"/>
      <c r="V447" s="1451"/>
      <c r="W447" s="1451"/>
      <c r="X447" s="1451"/>
      <c r="Y447" s="1451"/>
      <c r="Z447" s="1451"/>
      <c r="AA447" s="1451"/>
      <c r="AB447" s="1451"/>
      <c r="AC447" s="1451"/>
      <c r="AD447" s="1451"/>
      <c r="AE447" s="1452"/>
      <c r="AF447" s="61"/>
      <c r="AG447" s="61"/>
      <c r="AH447" s="61"/>
      <c r="AI447" s="61"/>
    </row>
    <row r="448" spans="1:35" s="417" customFormat="1" ht="15" customHeight="1" x14ac:dyDescent="0.2">
      <c r="A448" s="551" t="s">
        <v>505</v>
      </c>
      <c r="B448" s="398" t="s">
        <v>343</v>
      </c>
      <c r="C448" s="212">
        <v>4</v>
      </c>
      <c r="D448" s="170">
        <v>1</v>
      </c>
      <c r="E448" s="170">
        <v>1</v>
      </c>
      <c r="F448" s="170">
        <v>6</v>
      </c>
      <c r="G448" s="170">
        <v>60</v>
      </c>
      <c r="H448" s="170">
        <f>(8-1-0.75*2)*60*E448-J448-8*0.12*60</f>
        <v>57.900000000000006</v>
      </c>
      <c r="I448" s="170">
        <v>14</v>
      </c>
      <c r="J448" s="170">
        <f>(8-1-0.75*2)*0.65*60*E448</f>
        <v>214.5</v>
      </c>
      <c r="K448" s="170">
        <v>2.4700000000000002</v>
      </c>
      <c r="L448" s="170">
        <v>2.4700000000000002</v>
      </c>
      <c r="M448" s="170">
        <v>10</v>
      </c>
      <c r="N448" s="170">
        <f>D448/E448</f>
        <v>1</v>
      </c>
      <c r="O448" s="170">
        <v>173</v>
      </c>
      <c r="P448" s="170">
        <v>0</v>
      </c>
      <c r="Q448" s="211">
        <v>0</v>
      </c>
      <c r="R448" s="170">
        <v>0.48</v>
      </c>
      <c r="S448" s="207">
        <f>ROUND((K448*H448+1.3*K448*J448+R448*G448),4)</f>
        <v>860.57249999999999</v>
      </c>
      <c r="T448" s="207">
        <f>ROUND((L448*H448+1.3*L448*J448+R448*G448),4)</f>
        <v>860.57249999999999</v>
      </c>
      <c r="U448" s="207">
        <f>ROUND((L448*H448+1.3*L448*J448+R448*G448),4)</f>
        <v>860.57249999999999</v>
      </c>
      <c r="V448" s="207">
        <f>ROUND((K448*I448+1.3*K448*M448+R448*F448),4)</f>
        <v>69.569999999999993</v>
      </c>
      <c r="W448" s="207">
        <f>ROUND((L448*I448+1.3*L448*M448+R448*F448),4)</f>
        <v>69.569999999999993</v>
      </c>
      <c r="X448" s="207">
        <f>ROUND((L448*I448+1.3*L448*M448+R448*F448),4)</f>
        <v>69.569999999999993</v>
      </c>
      <c r="Y448" s="385">
        <f>ROUND((O448*S448*E448*N448/1000000),4)</f>
        <v>0.1489</v>
      </c>
      <c r="Z448" s="385">
        <f>ROUND((P448*T448*E448*N448/1000000),4)</f>
        <v>0</v>
      </c>
      <c r="AA448" s="385">
        <f>ROUND((Q448*U448*E448*N448/1000000),4)</f>
        <v>0</v>
      </c>
      <c r="AB448" s="931" t="s">
        <v>48</v>
      </c>
      <c r="AC448" s="932" t="s">
        <v>49</v>
      </c>
      <c r="AD448" s="933">
        <f>ROUND((((W448*D448)/1800)*0.8),4)</f>
        <v>3.09E-2</v>
      </c>
      <c r="AE448" s="933">
        <f>ROUND(((Y448+Z448+AA448)*0.8),4)</f>
        <v>0.1191</v>
      </c>
      <c r="AF448" s="61"/>
      <c r="AG448" s="61"/>
      <c r="AH448" s="61"/>
      <c r="AI448" s="61"/>
    </row>
    <row r="449" spans="1:35" s="417" customFormat="1" ht="15" customHeight="1" x14ac:dyDescent="0.2">
      <c r="A449" s="552" t="s">
        <v>492</v>
      </c>
      <c r="B449" s="399" t="s">
        <v>359</v>
      </c>
      <c r="C449" s="387"/>
      <c r="D449" s="209"/>
      <c r="E449" s="209"/>
      <c r="F449" s="209"/>
      <c r="G449" s="209"/>
      <c r="H449" s="209"/>
      <c r="I449" s="209"/>
      <c r="J449" s="209"/>
      <c r="K449" s="209"/>
      <c r="L449" s="209"/>
      <c r="M449" s="209"/>
      <c r="N449" s="209"/>
      <c r="O449" s="209"/>
      <c r="P449" s="209"/>
      <c r="Q449" s="209"/>
      <c r="R449" s="388"/>
      <c r="S449" s="215"/>
      <c r="T449" s="215"/>
      <c r="U449" s="215"/>
      <c r="V449" s="215"/>
      <c r="W449" s="215"/>
      <c r="X449" s="215"/>
      <c r="Y449" s="215"/>
      <c r="Z449" s="215"/>
      <c r="AA449" s="215"/>
      <c r="AB449" s="931" t="s">
        <v>51</v>
      </c>
      <c r="AC449" s="932" t="s">
        <v>52</v>
      </c>
      <c r="AD449" s="933">
        <f>ROUND((((W448*D448)/1800)*0.13),4)</f>
        <v>5.0000000000000001E-3</v>
      </c>
      <c r="AE449" s="933">
        <f>ROUND(((Y448+Z448+AA448)*0.13),4)</f>
        <v>1.9400000000000001E-2</v>
      </c>
      <c r="AF449" s="61"/>
      <c r="AG449" s="61"/>
      <c r="AH449" s="61"/>
      <c r="AI449" s="61"/>
    </row>
    <row r="450" spans="1:35" s="417" customFormat="1" ht="15" customHeight="1" x14ac:dyDescent="0.2">
      <c r="A450" s="558"/>
      <c r="B450" s="387" t="s">
        <v>360</v>
      </c>
      <c r="C450" s="389"/>
      <c r="D450" s="209"/>
      <c r="E450" s="209"/>
      <c r="F450" s="209"/>
      <c r="G450" s="209"/>
      <c r="H450" s="209"/>
      <c r="I450" s="209"/>
      <c r="J450" s="209"/>
      <c r="K450" s="209">
        <v>0.19</v>
      </c>
      <c r="L450" s="209">
        <v>0.23</v>
      </c>
      <c r="M450" s="209"/>
      <c r="N450" s="209"/>
      <c r="O450" s="209"/>
      <c r="P450" s="209"/>
      <c r="Q450" s="209"/>
      <c r="R450" s="133">
        <v>9.7000000000000003E-2</v>
      </c>
      <c r="S450" s="207">
        <f>ROUND((K450*H448+1.3*K450*J448+R450*G448),4)</f>
        <v>69.802499999999995</v>
      </c>
      <c r="T450" s="207">
        <f>ROUND((L450*0.9*H448+1.3*L450*0.9*J448+R450*G448),4)</f>
        <v>75.527299999999997</v>
      </c>
      <c r="U450" s="207">
        <f>ROUND((L450*H448+1.3*L450*J448+R450*G448),4)</f>
        <v>83.272499999999994</v>
      </c>
      <c r="V450" s="207">
        <f>ROUND((K450*I448+1.3*K450*M448+R450*F448),4)</f>
        <v>5.7119999999999997</v>
      </c>
      <c r="W450" s="207">
        <f>ROUND((L450*0.9*I448+1.3*L450*0.9*M448+R450*F448),4)</f>
        <v>6.1710000000000003</v>
      </c>
      <c r="X450" s="207">
        <f>ROUND((L450*I448+1.3*L450*M448+R450*F448),4)</f>
        <v>6.7919999999999998</v>
      </c>
      <c r="Y450" s="385">
        <f>ROUND((O448*S450*E448*N448/1000000),4)</f>
        <v>1.21E-2</v>
      </c>
      <c r="Z450" s="385">
        <f>ROUND((P448*T450*E448*N448/1000000),4)</f>
        <v>0</v>
      </c>
      <c r="AA450" s="385">
        <f>ROUND((Q448*U450*E448*N448/1000000),4)</f>
        <v>0</v>
      </c>
      <c r="AB450" s="931" t="s">
        <v>56</v>
      </c>
      <c r="AC450" s="932" t="s">
        <v>57</v>
      </c>
      <c r="AD450" s="933">
        <f>ROUND((((W450*D448)/1800)),4)</f>
        <v>3.3999999999999998E-3</v>
      </c>
      <c r="AE450" s="933">
        <f>ROUND(((Y450+Z450+AA450)),5)</f>
        <v>1.21E-2</v>
      </c>
      <c r="AF450" s="61"/>
      <c r="AG450" s="61"/>
      <c r="AH450" s="61"/>
      <c r="AI450" s="61"/>
    </row>
    <row r="451" spans="1:35" s="417" customFormat="1" ht="15" customHeight="1" x14ac:dyDescent="0.2">
      <c r="A451" s="558"/>
      <c r="B451" s="387"/>
      <c r="C451" s="387"/>
      <c r="D451" s="209"/>
      <c r="E451" s="209"/>
      <c r="F451" s="209"/>
      <c r="G451" s="209"/>
      <c r="H451" s="209"/>
      <c r="I451" s="209"/>
      <c r="J451" s="209"/>
      <c r="K451" s="209">
        <v>0.43</v>
      </c>
      <c r="L451" s="209">
        <v>0.51</v>
      </c>
      <c r="M451" s="209"/>
      <c r="N451" s="209"/>
      <c r="O451" s="209"/>
      <c r="P451" s="209"/>
      <c r="Q451" s="209"/>
      <c r="R451" s="133">
        <v>0.3</v>
      </c>
      <c r="S451" s="207">
        <f>ROUND((K451*H448+1.3*K451*J448+R451*G448),4)</f>
        <v>162.80250000000001</v>
      </c>
      <c r="T451" s="207">
        <f>ROUND((L451*0.9*H448+1.3*L451*0.9*J448+R451*G448),4)</f>
        <v>172.56829999999999</v>
      </c>
      <c r="U451" s="207">
        <f>ROUND((L451*H448+1.3*L451*J448+R451*G448),4)</f>
        <v>189.74250000000001</v>
      </c>
      <c r="V451" s="207">
        <f>ROUND((K451*I448+1.3*K451*M448+R451*F448),4)</f>
        <v>13.41</v>
      </c>
      <c r="W451" s="207">
        <f>ROUND((L451*0.9*I448+1.3*L451*0.9*M448+R451*F448),4)</f>
        <v>14.193</v>
      </c>
      <c r="X451" s="207">
        <f>ROUND((L451*I448+1.3*M448+R451*F448),4)</f>
        <v>21.94</v>
      </c>
      <c r="Y451" s="385">
        <f>ROUND((O448*S451*E448*N448/1000000),4)</f>
        <v>2.8199999999999999E-2</v>
      </c>
      <c r="Z451" s="385">
        <f>ROUND((P448*T451*E448*N448/1000000),4)</f>
        <v>0</v>
      </c>
      <c r="AA451" s="385">
        <f>ROUND((Q448*U451*E448*N448/1000000),4)</f>
        <v>0</v>
      </c>
      <c r="AB451" s="931" t="s">
        <v>177</v>
      </c>
      <c r="AC451" s="932" t="s">
        <v>178</v>
      </c>
      <c r="AD451" s="933">
        <f>ROUND((((W451*D448)/1800)),4)</f>
        <v>7.9000000000000008E-3</v>
      </c>
      <c r="AE451" s="933">
        <f>ROUND(((Y451+Z451+AA451)),4)</f>
        <v>2.8199999999999999E-2</v>
      </c>
      <c r="AF451" s="61"/>
      <c r="AG451" s="61"/>
      <c r="AH451" s="61"/>
      <c r="AI451" s="61"/>
    </row>
    <row r="452" spans="1:35" s="417" customFormat="1" ht="15" customHeight="1" x14ac:dyDescent="0.2">
      <c r="A452" s="558"/>
      <c r="B452" s="387"/>
      <c r="C452" s="387"/>
      <c r="D452" s="209"/>
      <c r="E452" s="209"/>
      <c r="F452" s="209"/>
      <c r="G452" s="209"/>
      <c r="H452" s="209"/>
      <c r="I452" s="209"/>
      <c r="J452" s="209"/>
      <c r="K452" s="209">
        <v>0.27</v>
      </c>
      <c r="L452" s="209">
        <v>0.41</v>
      </c>
      <c r="M452" s="209"/>
      <c r="N452" s="209"/>
      <c r="O452" s="209"/>
      <c r="P452" s="209"/>
      <c r="Q452" s="209"/>
      <c r="R452" s="133">
        <v>0.06</v>
      </c>
      <c r="S452" s="207">
        <f>ROUND((K452*H448+1.3*K452*J448+R452*G448),4)</f>
        <v>94.522499999999994</v>
      </c>
      <c r="T452" s="207">
        <f>ROUND((L452*0.9*H448+1.3*L452*0.9*J448+R452*G448),4)</f>
        <v>127.8608</v>
      </c>
      <c r="U452" s="207">
        <f>ROUND((L452*H448+1.3*L452*J448+R452*G448),4)</f>
        <v>141.66749999999999</v>
      </c>
      <c r="V452" s="207">
        <f>ROUND((K452*I448+1.3*K452*M448+R452*F448),4)</f>
        <v>7.65</v>
      </c>
      <c r="W452" s="207">
        <f>ROUND((L452*0.9*I448+1.3*L452*0.9*M448+R452*F448),4)</f>
        <v>10.323</v>
      </c>
      <c r="X452" s="207">
        <f>ROUND((L452*I448+1.3*L452*M448+R452*F448),4)</f>
        <v>11.43</v>
      </c>
      <c r="Y452" s="385">
        <f>ROUND((O448*S452*E448*N448/1000000),4)</f>
        <v>1.6400000000000001E-2</v>
      </c>
      <c r="Z452" s="385">
        <f>ROUND((P448*T452*E448*N448/1000000),4)</f>
        <v>0</v>
      </c>
      <c r="AA452" s="385">
        <f>ROUND((Q448*U452*E448*N448/1000000),4)</f>
        <v>0</v>
      </c>
      <c r="AB452" s="931" t="s">
        <v>61</v>
      </c>
      <c r="AC452" s="932" t="s">
        <v>62</v>
      </c>
      <c r="AD452" s="933">
        <f>ROUND((((W452*D448)/1800)),4)</f>
        <v>5.7000000000000002E-3</v>
      </c>
      <c r="AE452" s="933">
        <f>ROUND(((Y452+Z452+AA452)),4)</f>
        <v>1.6400000000000001E-2</v>
      </c>
      <c r="AF452" s="61"/>
      <c r="AG452" s="61"/>
      <c r="AH452" s="61"/>
      <c r="AI452" s="61"/>
    </row>
    <row r="453" spans="1:35" s="417" customFormat="1" ht="15" customHeight="1" x14ac:dyDescent="0.2">
      <c r="A453" s="563"/>
      <c r="B453" s="214"/>
      <c r="C453" s="214"/>
      <c r="D453" s="210"/>
      <c r="E453" s="210"/>
      <c r="F453" s="210"/>
      <c r="G453" s="210"/>
      <c r="H453" s="210"/>
      <c r="I453" s="210"/>
      <c r="J453" s="210"/>
      <c r="K453" s="210">
        <v>1.29</v>
      </c>
      <c r="L453" s="210">
        <v>1.57</v>
      </c>
      <c r="M453" s="210"/>
      <c r="N453" s="210"/>
      <c r="O453" s="210"/>
      <c r="P453" s="210"/>
      <c r="Q453" s="210"/>
      <c r="R453" s="133">
        <v>2.4</v>
      </c>
      <c r="S453" s="134">
        <f>ROUND((K453*H448+1.3*K453*J448+R453*G448),4)</f>
        <v>578.40750000000003</v>
      </c>
      <c r="T453" s="134">
        <f>ROUND((L453*0.9*H448+1.3*L453*0.9*J448+R453*G448),4)</f>
        <v>619.82780000000002</v>
      </c>
      <c r="U453" s="134">
        <f>ROUND((L453*H448+1.3*L453*J448+R453*G448),4)</f>
        <v>672.69749999999999</v>
      </c>
      <c r="V453" s="134">
        <f>ROUND((K453*I448+1.3*K453*M448+R453*F448),4)</f>
        <v>49.23</v>
      </c>
      <c r="W453" s="134">
        <f>ROUND((L453*0.9*I448+1.3*L453*0.9*M448+R453*F448),4)</f>
        <v>52.551000000000002</v>
      </c>
      <c r="X453" s="134">
        <f>ROUND((L453*I448+1.3*L453*M448+R453*F448),4)</f>
        <v>56.79</v>
      </c>
      <c r="Y453" s="394">
        <f>ROUND((O448*S453*E448*N448/1000000),4)</f>
        <v>0.10009999999999999</v>
      </c>
      <c r="Z453" s="394">
        <f>ROUND((P448*T453*E448*N448/1000000),4)</f>
        <v>0</v>
      </c>
      <c r="AA453" s="394">
        <f>ROUND((Q448*U453*E448*N448/1000000),4)</f>
        <v>0</v>
      </c>
      <c r="AB453" s="931" t="s">
        <v>65</v>
      </c>
      <c r="AC453" s="932" t="s">
        <v>66</v>
      </c>
      <c r="AD453" s="933">
        <f>ROUND((((W453*D448)/1800)),4)</f>
        <v>2.92E-2</v>
      </c>
      <c r="AE453" s="933">
        <f>ROUND(((Y453+Z453+AA453)),4)</f>
        <v>0.10009999999999999</v>
      </c>
      <c r="AF453" s="61">
        <f>SUM(AD448:AD453)</f>
        <v>8.2100000000000006E-2</v>
      </c>
      <c r="AG453" s="61">
        <f>SUM(AE448:AE453)</f>
        <v>0.29530000000000001</v>
      </c>
      <c r="AH453" s="61"/>
      <c r="AI453" s="61"/>
    </row>
    <row r="454" spans="1:35" s="417" customFormat="1" ht="15" customHeight="1" x14ac:dyDescent="0.2">
      <c r="A454" s="1449" t="s">
        <v>519</v>
      </c>
      <c r="B454" s="1450"/>
      <c r="C454" s="1451"/>
      <c r="D454" s="1451"/>
      <c r="E454" s="1451"/>
      <c r="F454" s="1451"/>
      <c r="G454" s="1451"/>
      <c r="H454" s="1451"/>
      <c r="I454" s="1451"/>
      <c r="J454" s="1451"/>
      <c r="K454" s="1451"/>
      <c r="L454" s="1451"/>
      <c r="M454" s="1451"/>
      <c r="N454" s="1451"/>
      <c r="O454" s="1451"/>
      <c r="P454" s="1451"/>
      <c r="Q454" s="1451"/>
      <c r="R454" s="1451"/>
      <c r="S454" s="1451"/>
      <c r="T454" s="1451"/>
      <c r="U454" s="1451"/>
      <c r="V454" s="1451"/>
      <c r="W454" s="1451"/>
      <c r="X454" s="1451"/>
      <c r="Y454" s="1451"/>
      <c r="Z454" s="1451"/>
      <c r="AA454" s="1451"/>
      <c r="AB454" s="1451"/>
      <c r="AC454" s="1451"/>
      <c r="AD454" s="1451"/>
      <c r="AE454" s="1452"/>
      <c r="AF454" s="61"/>
      <c r="AG454" s="61"/>
      <c r="AH454" s="61"/>
      <c r="AI454" s="61"/>
    </row>
    <row r="455" spans="1:35" s="417" customFormat="1" ht="15" customHeight="1" x14ac:dyDescent="0.2">
      <c r="A455" s="551" t="s">
        <v>509</v>
      </c>
      <c r="B455" s="398" t="s">
        <v>343</v>
      </c>
      <c r="C455" s="212">
        <v>4</v>
      </c>
      <c r="D455" s="170">
        <v>1</v>
      </c>
      <c r="E455" s="170">
        <v>1</v>
      </c>
      <c r="F455" s="170">
        <v>6</v>
      </c>
      <c r="G455" s="170">
        <v>60</v>
      </c>
      <c r="H455" s="170">
        <f>(8-1-0.75*2)*60*E455-J455-8*0.12*60</f>
        <v>57.900000000000006</v>
      </c>
      <c r="I455" s="170">
        <v>14</v>
      </c>
      <c r="J455" s="170">
        <f>(8-1-0.75*2)*0.65*60*E455</f>
        <v>214.5</v>
      </c>
      <c r="K455" s="170">
        <v>2.4700000000000002</v>
      </c>
      <c r="L455" s="170">
        <v>2.4700000000000002</v>
      </c>
      <c r="M455" s="170">
        <v>10</v>
      </c>
      <c r="N455" s="170">
        <f>D455/E455</f>
        <v>1</v>
      </c>
      <c r="O455" s="170">
        <v>173</v>
      </c>
      <c r="P455" s="170">
        <v>0</v>
      </c>
      <c r="Q455" s="211">
        <v>0</v>
      </c>
      <c r="R455" s="170">
        <v>0.48</v>
      </c>
      <c r="S455" s="207">
        <f>ROUND((K455*H455+1.3*K455*J455+R455*G455),4)</f>
        <v>860.57249999999999</v>
      </c>
      <c r="T455" s="207">
        <f>ROUND((L455*H455+1.3*L455*J455+R455*G455),4)</f>
        <v>860.57249999999999</v>
      </c>
      <c r="U455" s="207">
        <f>ROUND((L455*H455+1.3*L455*J455+R455*G455),4)</f>
        <v>860.57249999999999</v>
      </c>
      <c r="V455" s="207">
        <f>ROUND((K455*I455+1.3*K455*M455+R455*F455),4)</f>
        <v>69.569999999999993</v>
      </c>
      <c r="W455" s="207">
        <f>ROUND((L455*I455+1.3*L455*M455+R455*F455),4)</f>
        <v>69.569999999999993</v>
      </c>
      <c r="X455" s="207">
        <f>ROUND((L455*I455+1.3*L455*M455+R455*F455),4)</f>
        <v>69.569999999999993</v>
      </c>
      <c r="Y455" s="385">
        <f>ROUND((O455*S455*E455*N455/1000000),4)</f>
        <v>0.1489</v>
      </c>
      <c r="Z455" s="385">
        <f>ROUND((P455*T455*E455*N455/1000000),4)</f>
        <v>0</v>
      </c>
      <c r="AA455" s="385">
        <f>ROUND((Q455*U455*E455*N455/1000000),4)</f>
        <v>0</v>
      </c>
      <c r="AB455" s="931" t="s">
        <v>48</v>
      </c>
      <c r="AC455" s="932" t="s">
        <v>49</v>
      </c>
      <c r="AD455" s="933">
        <f>ROUND((((W455*D455)/1800)*0.8),4)</f>
        <v>3.09E-2</v>
      </c>
      <c r="AE455" s="933">
        <f>ROUND(((Y455+Z455+AA455)*0.8),4)</f>
        <v>0.1191</v>
      </c>
      <c r="AF455" s="61"/>
      <c r="AG455" s="61"/>
      <c r="AH455" s="61"/>
      <c r="AI455" s="61"/>
    </row>
    <row r="456" spans="1:35" s="417" customFormat="1" ht="15" customHeight="1" x14ac:dyDescent="0.2">
      <c r="A456" s="552" t="s">
        <v>492</v>
      </c>
      <c r="B456" s="399" t="s">
        <v>359</v>
      </c>
      <c r="C456" s="387"/>
      <c r="D456" s="209"/>
      <c r="E456" s="209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388"/>
      <c r="S456" s="215"/>
      <c r="T456" s="215"/>
      <c r="U456" s="215"/>
      <c r="V456" s="215"/>
      <c r="W456" s="215"/>
      <c r="X456" s="215"/>
      <c r="Y456" s="215"/>
      <c r="Z456" s="215"/>
      <c r="AA456" s="215"/>
      <c r="AB456" s="931" t="s">
        <v>51</v>
      </c>
      <c r="AC456" s="932" t="s">
        <v>52</v>
      </c>
      <c r="AD456" s="933">
        <f>ROUND((((W455*D455)/1800)*0.13),4)</f>
        <v>5.0000000000000001E-3</v>
      </c>
      <c r="AE456" s="933">
        <f>ROUND(((Y455+Z455+AA455)*0.13),4)</f>
        <v>1.9400000000000001E-2</v>
      </c>
      <c r="AF456" s="61"/>
      <c r="AG456" s="61"/>
      <c r="AH456" s="61"/>
      <c r="AI456" s="61"/>
    </row>
    <row r="457" spans="1:35" s="417" customFormat="1" ht="15" customHeight="1" x14ac:dyDescent="0.2">
      <c r="A457" s="558"/>
      <c r="B457" s="387" t="s">
        <v>360</v>
      </c>
      <c r="C457" s="389"/>
      <c r="D457" s="209"/>
      <c r="E457" s="209"/>
      <c r="F457" s="209"/>
      <c r="G457" s="209"/>
      <c r="H457" s="209"/>
      <c r="I457" s="209"/>
      <c r="J457" s="209"/>
      <c r="K457" s="209">
        <v>0.19</v>
      </c>
      <c r="L457" s="209">
        <v>0.23</v>
      </c>
      <c r="M457" s="209"/>
      <c r="N457" s="209"/>
      <c r="O457" s="209"/>
      <c r="P457" s="209"/>
      <c r="Q457" s="209"/>
      <c r="R457" s="133">
        <v>9.7000000000000003E-2</v>
      </c>
      <c r="S457" s="207">
        <f>ROUND((K457*H455+1.3*K457*J455+R457*G455),4)</f>
        <v>69.802499999999995</v>
      </c>
      <c r="T457" s="207">
        <f>ROUND((L457*0.9*H455+1.3*L457*0.9*J455+R457*G455),4)</f>
        <v>75.527299999999997</v>
      </c>
      <c r="U457" s="207">
        <f>ROUND((L457*H455+1.3*L457*J455+R457*G455),4)</f>
        <v>83.272499999999994</v>
      </c>
      <c r="V457" s="207">
        <f>ROUND((K457*I455+1.3*K457*M455+R457*F455),4)</f>
        <v>5.7119999999999997</v>
      </c>
      <c r="W457" s="207">
        <f>ROUND((L457*0.9*I455+1.3*L457*0.9*M455+R457*F455),4)</f>
        <v>6.1710000000000003</v>
      </c>
      <c r="X457" s="207">
        <f>ROUND((L457*I455+1.3*L457*M455+R457*F455),4)</f>
        <v>6.7919999999999998</v>
      </c>
      <c r="Y457" s="385">
        <f>ROUND((O455*S457*E455*N455/1000000),4)</f>
        <v>1.21E-2</v>
      </c>
      <c r="Z457" s="385">
        <f>ROUND((P455*T457*E455*N455/1000000),4)</f>
        <v>0</v>
      </c>
      <c r="AA457" s="385">
        <f>ROUND((Q455*U457*E455*N455/1000000),4)</f>
        <v>0</v>
      </c>
      <c r="AB457" s="931" t="s">
        <v>56</v>
      </c>
      <c r="AC457" s="932" t="s">
        <v>57</v>
      </c>
      <c r="AD457" s="933">
        <f>ROUND((((W457*D455)/1800)),4)</f>
        <v>3.3999999999999998E-3</v>
      </c>
      <c r="AE457" s="933">
        <f>ROUND(((Y457+Z457+AA457)),5)</f>
        <v>1.21E-2</v>
      </c>
      <c r="AF457" s="61"/>
      <c r="AG457" s="61"/>
      <c r="AH457" s="61"/>
      <c r="AI457" s="61"/>
    </row>
    <row r="458" spans="1:35" s="417" customFormat="1" ht="15" customHeight="1" x14ac:dyDescent="0.2">
      <c r="A458" s="558"/>
      <c r="B458" s="387"/>
      <c r="C458" s="387"/>
      <c r="D458" s="209"/>
      <c r="E458" s="209"/>
      <c r="F458" s="209"/>
      <c r="G458" s="209"/>
      <c r="H458" s="209"/>
      <c r="I458" s="209"/>
      <c r="J458" s="209"/>
      <c r="K458" s="209">
        <v>0.43</v>
      </c>
      <c r="L458" s="209">
        <v>0.51</v>
      </c>
      <c r="M458" s="209"/>
      <c r="N458" s="209"/>
      <c r="O458" s="209"/>
      <c r="P458" s="209"/>
      <c r="Q458" s="209"/>
      <c r="R458" s="133">
        <v>0.3</v>
      </c>
      <c r="S458" s="207">
        <f>ROUND((K458*H455+1.3*K458*J455+R458*G455),4)</f>
        <v>162.80250000000001</v>
      </c>
      <c r="T458" s="207">
        <f>ROUND((L458*0.9*H455+1.3*L458*0.9*J455+R458*G455),4)</f>
        <v>172.56829999999999</v>
      </c>
      <c r="U458" s="207">
        <f>ROUND((L458*H455+1.3*L458*J455+R458*G455),4)</f>
        <v>189.74250000000001</v>
      </c>
      <c r="V458" s="207">
        <f>ROUND((K458*I455+1.3*K458*M455+R458*F455),4)</f>
        <v>13.41</v>
      </c>
      <c r="W458" s="207">
        <f>ROUND((L458*0.9*I455+1.3*L458*0.9*M455+R458*F455),4)</f>
        <v>14.193</v>
      </c>
      <c r="X458" s="207">
        <f>ROUND((L458*I455+1.3*M455+R458*F455),4)</f>
        <v>21.94</v>
      </c>
      <c r="Y458" s="385">
        <f>ROUND((O455*S458*E455*N455/1000000),4)</f>
        <v>2.8199999999999999E-2</v>
      </c>
      <c r="Z458" s="385">
        <f>ROUND((P455*T458*E455*N455/1000000),4)</f>
        <v>0</v>
      </c>
      <c r="AA458" s="385">
        <f>ROUND((Q455*U458*E455*N455/1000000),4)</f>
        <v>0</v>
      </c>
      <c r="AB458" s="931" t="s">
        <v>177</v>
      </c>
      <c r="AC458" s="932" t="s">
        <v>178</v>
      </c>
      <c r="AD458" s="933">
        <f>ROUND((((W458*D455)/1800)),4)</f>
        <v>7.9000000000000008E-3</v>
      </c>
      <c r="AE458" s="933">
        <f>ROUND(((Y458+Z458+AA458)),4)</f>
        <v>2.8199999999999999E-2</v>
      </c>
      <c r="AF458" s="61"/>
      <c r="AG458" s="61"/>
      <c r="AH458" s="61"/>
      <c r="AI458" s="61"/>
    </row>
    <row r="459" spans="1:35" s="417" customFormat="1" ht="15" customHeight="1" x14ac:dyDescent="0.2">
      <c r="A459" s="558"/>
      <c r="B459" s="387"/>
      <c r="C459" s="387"/>
      <c r="D459" s="209"/>
      <c r="E459" s="209"/>
      <c r="F459" s="209"/>
      <c r="G459" s="209"/>
      <c r="H459" s="209"/>
      <c r="I459" s="209"/>
      <c r="J459" s="209"/>
      <c r="K459" s="209">
        <v>0.27</v>
      </c>
      <c r="L459" s="209">
        <v>0.41</v>
      </c>
      <c r="M459" s="209"/>
      <c r="N459" s="209"/>
      <c r="O459" s="209"/>
      <c r="P459" s="209"/>
      <c r="Q459" s="209"/>
      <c r="R459" s="133">
        <v>0.06</v>
      </c>
      <c r="S459" s="207">
        <f>ROUND((K459*H455+1.3*K459*J455+R459*G455),4)</f>
        <v>94.522499999999994</v>
      </c>
      <c r="T459" s="207">
        <f>ROUND((L459*0.9*H455+1.3*L459*0.9*J455+R459*G455),4)</f>
        <v>127.8608</v>
      </c>
      <c r="U459" s="207">
        <f>ROUND((L459*H455+1.3*L459*J455+R459*G455),4)</f>
        <v>141.66749999999999</v>
      </c>
      <c r="V459" s="207">
        <f>ROUND((K459*I455+1.3*K459*M455+R459*F455),4)</f>
        <v>7.65</v>
      </c>
      <c r="W459" s="207">
        <f>ROUND((L459*0.9*I455+1.3*L459*0.9*M455+R459*F455),4)</f>
        <v>10.323</v>
      </c>
      <c r="X459" s="207">
        <f>ROUND((L459*I455+1.3*L459*M455+R459*F455),4)</f>
        <v>11.43</v>
      </c>
      <c r="Y459" s="385">
        <f>ROUND((O455*S459*E455*N455/1000000),4)</f>
        <v>1.6400000000000001E-2</v>
      </c>
      <c r="Z459" s="385">
        <f>ROUND((P455*T459*E455*N455/1000000),4)</f>
        <v>0</v>
      </c>
      <c r="AA459" s="385">
        <f>ROUND((Q455*U459*E455*N455/1000000),4)</f>
        <v>0</v>
      </c>
      <c r="AB459" s="931" t="s">
        <v>61</v>
      </c>
      <c r="AC459" s="932" t="s">
        <v>62</v>
      </c>
      <c r="AD459" s="933">
        <f>ROUND((((W459*D455)/1800)),4)</f>
        <v>5.7000000000000002E-3</v>
      </c>
      <c r="AE459" s="933">
        <f>ROUND(((Y459+Z459+AA459)),4)</f>
        <v>1.6400000000000001E-2</v>
      </c>
      <c r="AF459" s="61"/>
      <c r="AG459" s="61"/>
      <c r="AH459" s="61"/>
      <c r="AI459" s="61"/>
    </row>
    <row r="460" spans="1:35" s="417" customFormat="1" ht="15" customHeight="1" x14ac:dyDescent="0.2">
      <c r="A460" s="563"/>
      <c r="B460" s="214"/>
      <c r="C460" s="214"/>
      <c r="D460" s="210"/>
      <c r="E460" s="210"/>
      <c r="F460" s="210"/>
      <c r="G460" s="210"/>
      <c r="H460" s="210"/>
      <c r="I460" s="210"/>
      <c r="J460" s="210"/>
      <c r="K460" s="210">
        <v>1.29</v>
      </c>
      <c r="L460" s="210">
        <v>1.57</v>
      </c>
      <c r="M460" s="210"/>
      <c r="N460" s="210"/>
      <c r="O460" s="210"/>
      <c r="P460" s="210"/>
      <c r="Q460" s="210"/>
      <c r="R460" s="133">
        <v>2.4</v>
      </c>
      <c r="S460" s="134">
        <f>ROUND((K460*H455+1.3*K460*J455+R460*G455),4)</f>
        <v>578.40750000000003</v>
      </c>
      <c r="T460" s="134">
        <f>ROUND((L460*0.9*H455+1.3*L460*0.9*J455+R460*G455),4)</f>
        <v>619.82780000000002</v>
      </c>
      <c r="U460" s="134">
        <f>ROUND((L460*H455+1.3*L460*J455+R460*G455),4)</f>
        <v>672.69749999999999</v>
      </c>
      <c r="V460" s="134">
        <f>ROUND((K460*I455+1.3*K460*M455+R460*F455),4)</f>
        <v>49.23</v>
      </c>
      <c r="W460" s="134">
        <f>ROUND((L460*0.9*I455+1.3*L460*0.9*M455+R460*F455),4)</f>
        <v>52.551000000000002</v>
      </c>
      <c r="X460" s="134">
        <f>ROUND((L460*I455+1.3*L460*M455+R460*F455),4)</f>
        <v>56.79</v>
      </c>
      <c r="Y460" s="394">
        <f>ROUND((O455*S460*E455*N455/1000000),4)</f>
        <v>0.10009999999999999</v>
      </c>
      <c r="Z460" s="394">
        <f>ROUND((P455*T460*E455*N455/1000000),4)</f>
        <v>0</v>
      </c>
      <c r="AA460" s="394">
        <f>ROUND((Q455*U460*E455*N455/1000000),4)</f>
        <v>0</v>
      </c>
      <c r="AB460" s="931" t="s">
        <v>65</v>
      </c>
      <c r="AC460" s="932" t="s">
        <v>66</v>
      </c>
      <c r="AD460" s="933">
        <f>ROUND((((W460*D455)/1800)),4)</f>
        <v>2.92E-2</v>
      </c>
      <c r="AE460" s="933">
        <f>ROUND(((Y460+Z460+AA460)),4)</f>
        <v>0.10009999999999999</v>
      </c>
      <c r="AF460" s="61">
        <f>SUM(AD455:AD460)</f>
        <v>8.2100000000000006E-2</v>
      </c>
      <c r="AG460" s="61">
        <f>SUM(AE455:AE460)</f>
        <v>0.29530000000000001</v>
      </c>
      <c r="AH460" s="61"/>
      <c r="AI460" s="61"/>
    </row>
    <row r="461" spans="1:35" s="417" customFormat="1" ht="15" customHeight="1" x14ac:dyDescent="0.2">
      <c r="A461" s="1449" t="s">
        <v>523</v>
      </c>
      <c r="B461" s="1450"/>
      <c r="C461" s="1451"/>
      <c r="D461" s="1451"/>
      <c r="E461" s="1451"/>
      <c r="F461" s="1451"/>
      <c r="G461" s="1451"/>
      <c r="H461" s="1451"/>
      <c r="I461" s="1451"/>
      <c r="J461" s="1451"/>
      <c r="K461" s="1451"/>
      <c r="L461" s="1451"/>
      <c r="M461" s="1451"/>
      <c r="N461" s="1451"/>
      <c r="O461" s="1451"/>
      <c r="P461" s="1451"/>
      <c r="Q461" s="1451"/>
      <c r="R461" s="1451"/>
      <c r="S461" s="1451"/>
      <c r="T461" s="1451"/>
      <c r="U461" s="1451"/>
      <c r="V461" s="1451"/>
      <c r="W461" s="1451"/>
      <c r="X461" s="1451"/>
      <c r="Y461" s="1451"/>
      <c r="Z461" s="1451"/>
      <c r="AA461" s="1451"/>
      <c r="AB461" s="1451"/>
      <c r="AC461" s="1451"/>
      <c r="AD461" s="1451"/>
      <c r="AE461" s="1452"/>
      <c r="AF461" s="61"/>
      <c r="AG461" s="61"/>
      <c r="AH461" s="61"/>
      <c r="AI461" s="61"/>
    </row>
    <row r="462" spans="1:35" s="417" customFormat="1" ht="15" customHeight="1" x14ac:dyDescent="0.2">
      <c r="A462" s="551" t="s">
        <v>514</v>
      </c>
      <c r="B462" s="398" t="s">
        <v>343</v>
      </c>
      <c r="C462" s="212">
        <v>4</v>
      </c>
      <c r="D462" s="170">
        <v>1</v>
      </c>
      <c r="E462" s="170">
        <v>1</v>
      </c>
      <c r="F462" s="170">
        <v>6</v>
      </c>
      <c r="G462" s="170">
        <v>60</v>
      </c>
      <c r="H462" s="170">
        <f>(8-1-0.75*2)*60*E462-J462-8*0.12*60</f>
        <v>57.900000000000006</v>
      </c>
      <c r="I462" s="170">
        <v>14</v>
      </c>
      <c r="J462" s="170">
        <f>(8-1-0.75*2)*0.65*60*E462</f>
        <v>214.5</v>
      </c>
      <c r="K462" s="170">
        <v>2.4700000000000002</v>
      </c>
      <c r="L462" s="170">
        <v>2.4700000000000002</v>
      </c>
      <c r="M462" s="170">
        <v>10</v>
      </c>
      <c r="N462" s="170">
        <f>D462/E462</f>
        <v>1</v>
      </c>
      <c r="O462" s="170">
        <v>180</v>
      </c>
      <c r="P462" s="170">
        <v>90</v>
      </c>
      <c r="Q462" s="211">
        <v>95</v>
      </c>
      <c r="R462" s="170">
        <v>0.48</v>
      </c>
      <c r="S462" s="207">
        <f>ROUND((K462*H462+1.3*K462*J462+R462*G462),4)</f>
        <v>860.57249999999999</v>
      </c>
      <c r="T462" s="207">
        <f>ROUND((L462*H462+1.3*L462*J462+R462*G462),4)</f>
        <v>860.57249999999999</v>
      </c>
      <c r="U462" s="207">
        <f>ROUND((L462*H462+1.3*L462*J462+R462*G462),4)</f>
        <v>860.57249999999999</v>
      </c>
      <c r="V462" s="207">
        <f>ROUND((K462*I462+1.3*K462*M462+R462*F462),4)</f>
        <v>69.569999999999993</v>
      </c>
      <c r="W462" s="207">
        <f>ROUND((L462*I462+1.3*L462*M462+R462*F462),4)</f>
        <v>69.569999999999993</v>
      </c>
      <c r="X462" s="207">
        <f>ROUND((L462*I462+1.3*L462*M462+R462*F462),4)</f>
        <v>69.569999999999993</v>
      </c>
      <c r="Y462" s="385">
        <f>ROUND((O462*S462*E462*N462/1000000),4)</f>
        <v>0.15490000000000001</v>
      </c>
      <c r="Z462" s="385">
        <f>ROUND((P462*T462*E462*N462/1000000),4)</f>
        <v>7.7499999999999999E-2</v>
      </c>
      <c r="AA462" s="385">
        <f>ROUND((Q462*U462*E462*N462/1000000),4)</f>
        <v>8.1799999999999998E-2</v>
      </c>
      <c r="AB462" s="931" t="s">
        <v>48</v>
      </c>
      <c r="AC462" s="932" t="s">
        <v>49</v>
      </c>
      <c r="AD462" s="933">
        <f>ROUND((((W462*D462)/1800)*0.8),4)</f>
        <v>3.09E-2</v>
      </c>
      <c r="AE462" s="933">
        <f>ROUND(((Y462+Z462+AA462)*0.8),4)</f>
        <v>0.25140000000000001</v>
      </c>
      <c r="AF462" s="61"/>
      <c r="AG462" s="61"/>
      <c r="AH462" s="61"/>
      <c r="AI462" s="61"/>
    </row>
    <row r="463" spans="1:35" s="417" customFormat="1" ht="15" customHeight="1" x14ac:dyDescent="0.2">
      <c r="A463" s="552" t="s">
        <v>492</v>
      </c>
      <c r="B463" s="399" t="s">
        <v>359</v>
      </c>
      <c r="C463" s="387"/>
      <c r="D463" s="209"/>
      <c r="E463" s="209"/>
      <c r="F463" s="209"/>
      <c r="G463" s="209"/>
      <c r="H463" s="209"/>
      <c r="I463" s="209"/>
      <c r="J463" s="209"/>
      <c r="K463" s="209"/>
      <c r="L463" s="209"/>
      <c r="M463" s="209"/>
      <c r="N463" s="209"/>
      <c r="O463" s="209"/>
      <c r="P463" s="209"/>
      <c r="Q463" s="209"/>
      <c r="R463" s="388"/>
      <c r="S463" s="215"/>
      <c r="T463" s="215"/>
      <c r="U463" s="215"/>
      <c r="V463" s="215"/>
      <c r="W463" s="215"/>
      <c r="X463" s="215"/>
      <c r="Y463" s="215"/>
      <c r="Z463" s="215"/>
      <c r="AA463" s="215"/>
      <c r="AB463" s="931" t="s">
        <v>51</v>
      </c>
      <c r="AC463" s="932" t="s">
        <v>52</v>
      </c>
      <c r="AD463" s="933">
        <f>ROUND((((W462*D462)/1800)*0.13),4)</f>
        <v>5.0000000000000001E-3</v>
      </c>
      <c r="AE463" s="933">
        <f>ROUND(((Y462+Z462+AA462)*0.13),4)</f>
        <v>4.0800000000000003E-2</v>
      </c>
      <c r="AF463" s="61"/>
      <c r="AG463" s="61"/>
      <c r="AH463" s="61"/>
      <c r="AI463" s="61"/>
    </row>
    <row r="464" spans="1:35" s="417" customFormat="1" ht="15" customHeight="1" x14ac:dyDescent="0.2">
      <c r="A464" s="558"/>
      <c r="B464" s="387" t="s">
        <v>360</v>
      </c>
      <c r="C464" s="389"/>
      <c r="D464" s="209"/>
      <c r="E464" s="209"/>
      <c r="F464" s="209"/>
      <c r="G464" s="209"/>
      <c r="H464" s="209"/>
      <c r="I464" s="209"/>
      <c r="J464" s="209"/>
      <c r="K464" s="209">
        <v>0.19</v>
      </c>
      <c r="L464" s="209">
        <v>0.23</v>
      </c>
      <c r="M464" s="209"/>
      <c r="N464" s="209"/>
      <c r="O464" s="209"/>
      <c r="P464" s="209"/>
      <c r="Q464" s="209"/>
      <c r="R464" s="133">
        <v>9.7000000000000003E-2</v>
      </c>
      <c r="S464" s="207">
        <f>ROUND((K464*H462+1.3*K464*J462+R464*G462),4)</f>
        <v>69.802499999999995</v>
      </c>
      <c r="T464" s="207">
        <f>ROUND((L464*0.9*H462+1.3*L464*0.9*J462+R464*G462),4)</f>
        <v>75.527299999999997</v>
      </c>
      <c r="U464" s="207">
        <f>ROUND((L464*H462+1.3*L464*J462+R464*G462),4)</f>
        <v>83.272499999999994</v>
      </c>
      <c r="V464" s="207">
        <f>ROUND((K464*I462+1.3*K464*M462+R464*F462),4)</f>
        <v>5.7119999999999997</v>
      </c>
      <c r="W464" s="207">
        <f>ROUND((L464*0.9*I462+1.3*L464*0.9*M462+R464*F462),4)</f>
        <v>6.1710000000000003</v>
      </c>
      <c r="X464" s="207">
        <f>ROUND((L464*I462+1.3*L464*M462+R464*F462),4)</f>
        <v>6.7919999999999998</v>
      </c>
      <c r="Y464" s="385">
        <f>ROUND((O462*S464*E462*N462/1000000),4)</f>
        <v>1.26E-2</v>
      </c>
      <c r="Z464" s="385">
        <f>ROUND((P462*T464*E462*N462/1000000),4)</f>
        <v>6.7999999999999996E-3</v>
      </c>
      <c r="AA464" s="385">
        <f>ROUND((Q462*U464*E462*N462/1000000),4)</f>
        <v>7.9000000000000008E-3</v>
      </c>
      <c r="AB464" s="931" t="s">
        <v>56</v>
      </c>
      <c r="AC464" s="932" t="s">
        <v>57</v>
      </c>
      <c r="AD464" s="933">
        <f>ROUND((((W464*D462)/1800)),4)</f>
        <v>3.3999999999999998E-3</v>
      </c>
      <c r="AE464" s="933">
        <f>ROUND(((Y464+Z464+AA464)),5)</f>
        <v>2.7300000000000001E-2</v>
      </c>
      <c r="AF464" s="61"/>
      <c r="AG464" s="61"/>
      <c r="AH464" s="61"/>
      <c r="AI464" s="61"/>
    </row>
    <row r="465" spans="1:35" s="417" customFormat="1" ht="15" customHeight="1" x14ac:dyDescent="0.2">
      <c r="A465" s="558"/>
      <c r="B465" s="387"/>
      <c r="C465" s="387"/>
      <c r="D465" s="209"/>
      <c r="E465" s="209"/>
      <c r="F465" s="209"/>
      <c r="G465" s="209"/>
      <c r="H465" s="209"/>
      <c r="I465" s="209"/>
      <c r="J465" s="209"/>
      <c r="K465" s="209">
        <v>0.43</v>
      </c>
      <c r="L465" s="209">
        <v>0.51</v>
      </c>
      <c r="M465" s="209"/>
      <c r="N465" s="209"/>
      <c r="O465" s="209"/>
      <c r="P465" s="209"/>
      <c r="Q465" s="209"/>
      <c r="R465" s="133">
        <v>0.3</v>
      </c>
      <c r="S465" s="207">
        <f>ROUND((K465*H462+1.3*K465*J462+R465*G462),4)</f>
        <v>162.80250000000001</v>
      </c>
      <c r="T465" s="207">
        <f>ROUND((L465*0.9*H462+1.3*L465*0.9*J462+R465*G462),4)</f>
        <v>172.56829999999999</v>
      </c>
      <c r="U465" s="207">
        <f>ROUND((L465*H462+1.3*L465*J462+R465*G462),4)</f>
        <v>189.74250000000001</v>
      </c>
      <c r="V465" s="207">
        <f>ROUND((K465*I462+1.3*K465*M462+R465*F462),4)</f>
        <v>13.41</v>
      </c>
      <c r="W465" s="207">
        <f>ROUND((L465*0.9*I462+1.3*L465*0.9*M462+R465*F462),4)</f>
        <v>14.193</v>
      </c>
      <c r="X465" s="207">
        <f>ROUND((L465*I462+1.3*M462+R465*F462),4)</f>
        <v>21.94</v>
      </c>
      <c r="Y465" s="385">
        <f>ROUND((O462*S465*E462*N462/1000000),4)</f>
        <v>2.93E-2</v>
      </c>
      <c r="Z465" s="385">
        <f>ROUND((P462*T465*E462*N462/1000000),4)</f>
        <v>1.55E-2</v>
      </c>
      <c r="AA465" s="385">
        <f>ROUND((Q462*U465*E462*N462/1000000),4)</f>
        <v>1.7999999999999999E-2</v>
      </c>
      <c r="AB465" s="931" t="s">
        <v>177</v>
      </c>
      <c r="AC465" s="932" t="s">
        <v>178</v>
      </c>
      <c r="AD465" s="933">
        <f>ROUND((((W465*D462)/1800)),4)</f>
        <v>7.9000000000000008E-3</v>
      </c>
      <c r="AE465" s="933">
        <f>ROUND(((Y465+Z465+AA465)),4)</f>
        <v>6.2799999999999995E-2</v>
      </c>
      <c r="AF465" s="61"/>
      <c r="AG465" s="61"/>
      <c r="AH465" s="61"/>
      <c r="AI465" s="61"/>
    </row>
    <row r="466" spans="1:35" s="417" customFormat="1" ht="15" customHeight="1" x14ac:dyDescent="0.2">
      <c r="A466" s="558"/>
      <c r="B466" s="387"/>
      <c r="C466" s="387"/>
      <c r="D466" s="209"/>
      <c r="E466" s="209"/>
      <c r="F466" s="209"/>
      <c r="G466" s="209"/>
      <c r="H466" s="209"/>
      <c r="I466" s="209"/>
      <c r="J466" s="209"/>
      <c r="K466" s="209">
        <v>0.27</v>
      </c>
      <c r="L466" s="209">
        <v>0.41</v>
      </c>
      <c r="M466" s="209"/>
      <c r="N466" s="209"/>
      <c r="O466" s="209"/>
      <c r="P466" s="209"/>
      <c r="Q466" s="209"/>
      <c r="R466" s="133">
        <v>0.06</v>
      </c>
      <c r="S466" s="207">
        <f>ROUND((K466*H462+1.3*K466*J462+R466*G462),4)</f>
        <v>94.522499999999994</v>
      </c>
      <c r="T466" s="207">
        <f>ROUND((L466*0.9*H462+1.3*L466*0.9*J462+R466*G462),4)</f>
        <v>127.8608</v>
      </c>
      <c r="U466" s="207">
        <f>ROUND((L466*H462+1.3*L466*J462+R466*G462),4)</f>
        <v>141.66749999999999</v>
      </c>
      <c r="V466" s="207">
        <f>ROUND((K466*I462+1.3*K466*M462+R466*F462),4)</f>
        <v>7.65</v>
      </c>
      <c r="W466" s="207">
        <f>ROUND((L466*0.9*I462+1.3*L466*0.9*M462+R466*F462),4)</f>
        <v>10.323</v>
      </c>
      <c r="X466" s="207">
        <f>ROUND((L466*I462+1.3*L466*M462+R466*F462),4)</f>
        <v>11.43</v>
      </c>
      <c r="Y466" s="385">
        <f>ROUND((O462*S466*E462*N462/1000000),4)</f>
        <v>1.7000000000000001E-2</v>
      </c>
      <c r="Z466" s="385">
        <f>ROUND((P462*T466*E462*N462/1000000),4)</f>
        <v>1.15E-2</v>
      </c>
      <c r="AA466" s="385">
        <f>ROUND((Q462*U466*E462*N462/1000000),4)</f>
        <v>1.35E-2</v>
      </c>
      <c r="AB466" s="931" t="s">
        <v>61</v>
      </c>
      <c r="AC466" s="932" t="s">
        <v>62</v>
      </c>
      <c r="AD466" s="933">
        <f>ROUND((((W466*D462)/1800)),4)</f>
        <v>5.7000000000000002E-3</v>
      </c>
      <c r="AE466" s="933">
        <f>ROUND(((Y466+Z466+AA466)),4)</f>
        <v>4.2000000000000003E-2</v>
      </c>
      <c r="AF466" s="61"/>
      <c r="AG466" s="61"/>
      <c r="AH466" s="61"/>
      <c r="AI466" s="61"/>
    </row>
    <row r="467" spans="1:35" s="417" customFormat="1" ht="15" customHeight="1" x14ac:dyDescent="0.2">
      <c r="A467" s="563"/>
      <c r="B467" s="214"/>
      <c r="C467" s="214"/>
      <c r="D467" s="210"/>
      <c r="E467" s="210"/>
      <c r="F467" s="210"/>
      <c r="G467" s="210"/>
      <c r="H467" s="210"/>
      <c r="I467" s="210"/>
      <c r="J467" s="210"/>
      <c r="K467" s="210">
        <v>1.29</v>
      </c>
      <c r="L467" s="210">
        <v>1.57</v>
      </c>
      <c r="M467" s="210"/>
      <c r="N467" s="210"/>
      <c r="O467" s="210"/>
      <c r="P467" s="210"/>
      <c r="Q467" s="210"/>
      <c r="R467" s="133">
        <v>2.4</v>
      </c>
      <c r="S467" s="134">
        <f>ROUND((K467*H462+1.3*K467*J462+R467*G462),4)</f>
        <v>578.40750000000003</v>
      </c>
      <c r="T467" s="134">
        <f>ROUND((L467*0.9*H462+1.3*L467*0.9*J462+R467*G462),4)</f>
        <v>619.82780000000002</v>
      </c>
      <c r="U467" s="134">
        <f>ROUND((L467*H462+1.3*L467*J462+R467*G462),4)</f>
        <v>672.69749999999999</v>
      </c>
      <c r="V467" s="134">
        <f>ROUND((K467*I462+1.3*K467*M462+R467*F462),4)</f>
        <v>49.23</v>
      </c>
      <c r="W467" s="134">
        <f>ROUND((L467*0.9*I462+1.3*L467*0.9*M462+R467*F462),4)</f>
        <v>52.551000000000002</v>
      </c>
      <c r="X467" s="134">
        <f>ROUND((L467*I462+1.3*L467*M462+R467*F462),4)</f>
        <v>56.79</v>
      </c>
      <c r="Y467" s="394">
        <f>ROUND((O462*S467*E462*N462/1000000),4)</f>
        <v>0.1041</v>
      </c>
      <c r="Z467" s="394">
        <f>ROUND((P462*T467*E462*N462/1000000),4)</f>
        <v>5.5800000000000002E-2</v>
      </c>
      <c r="AA467" s="394">
        <f>ROUND((Q462*U467*E462*N462/1000000),4)</f>
        <v>6.3899999999999998E-2</v>
      </c>
      <c r="AB467" s="931" t="s">
        <v>65</v>
      </c>
      <c r="AC467" s="932" t="s">
        <v>66</v>
      </c>
      <c r="AD467" s="933">
        <f>ROUND((((W467*D462)/1800)),4)</f>
        <v>2.92E-2</v>
      </c>
      <c r="AE467" s="933">
        <f>ROUND(((Y467+Z467+AA467)),4)</f>
        <v>0.2238</v>
      </c>
      <c r="AF467" s="61">
        <f>SUM(AD462:AD467)</f>
        <v>8.2100000000000006E-2</v>
      </c>
      <c r="AG467" s="61">
        <f>SUM(AE462:AE467)</f>
        <v>0.6480999999999999</v>
      </c>
      <c r="AH467" s="61"/>
      <c r="AI467" s="61"/>
    </row>
    <row r="468" spans="1:35" s="417" customFormat="1" ht="15" customHeight="1" x14ac:dyDescent="0.2">
      <c r="A468" s="1449" t="s">
        <v>526</v>
      </c>
      <c r="B468" s="1450"/>
      <c r="C468" s="1451"/>
      <c r="D468" s="1451"/>
      <c r="E468" s="1451"/>
      <c r="F468" s="1451"/>
      <c r="G468" s="1451"/>
      <c r="H468" s="1451"/>
      <c r="I468" s="1451"/>
      <c r="J468" s="1451"/>
      <c r="K468" s="1451"/>
      <c r="L468" s="1451"/>
      <c r="M468" s="1451"/>
      <c r="N468" s="1451"/>
      <c r="O468" s="1451"/>
      <c r="P468" s="1451"/>
      <c r="Q468" s="1451"/>
      <c r="R468" s="1451"/>
      <c r="S468" s="1451"/>
      <c r="T468" s="1451"/>
      <c r="U468" s="1451"/>
      <c r="V468" s="1451"/>
      <c r="W468" s="1451"/>
      <c r="X468" s="1451"/>
      <c r="Y468" s="1451"/>
      <c r="Z468" s="1451"/>
      <c r="AA468" s="1451"/>
      <c r="AB468" s="1451"/>
      <c r="AC468" s="1451"/>
      <c r="AD468" s="1451"/>
      <c r="AE468" s="1452"/>
      <c r="AF468" s="61"/>
      <c r="AG468" s="61"/>
      <c r="AH468" s="61"/>
      <c r="AI468" s="61"/>
    </row>
    <row r="469" spans="1:35" s="417" customFormat="1" ht="15" customHeight="1" x14ac:dyDescent="0.2">
      <c r="A469" s="551" t="s">
        <v>517</v>
      </c>
      <c r="B469" s="398" t="s">
        <v>343</v>
      </c>
      <c r="C469" s="212">
        <v>4</v>
      </c>
      <c r="D469" s="170">
        <v>1</v>
      </c>
      <c r="E469" s="170">
        <v>1</v>
      </c>
      <c r="F469" s="170">
        <v>6</v>
      </c>
      <c r="G469" s="170">
        <v>60</v>
      </c>
      <c r="H469" s="170">
        <f>(8-1-0.75*2)*60*E469-J469-8*0.12*60</f>
        <v>57.900000000000006</v>
      </c>
      <c r="I469" s="170">
        <v>14</v>
      </c>
      <c r="J469" s="170">
        <f>(8-1-0.75*2)*0.65*60*E469</f>
        <v>214.5</v>
      </c>
      <c r="K469" s="170">
        <v>2.4700000000000002</v>
      </c>
      <c r="L469" s="170">
        <v>2.4700000000000002</v>
      </c>
      <c r="M469" s="170">
        <v>10</v>
      </c>
      <c r="N469" s="170">
        <f>D469/E469</f>
        <v>1</v>
      </c>
      <c r="O469" s="170">
        <v>173</v>
      </c>
      <c r="P469" s="170">
        <v>0</v>
      </c>
      <c r="Q469" s="211">
        <v>0</v>
      </c>
      <c r="R469" s="170">
        <v>0.48</v>
      </c>
      <c r="S469" s="207">
        <f>ROUND((K469*H469+1.3*K469*J469+R469*G469),4)</f>
        <v>860.57249999999999</v>
      </c>
      <c r="T469" s="207">
        <f>ROUND((L469*H469+1.3*L469*J469+R469*G469),4)</f>
        <v>860.57249999999999</v>
      </c>
      <c r="U469" s="207">
        <f>ROUND((L469*H469+1.3*L469*J469+R469*G469),4)</f>
        <v>860.57249999999999</v>
      </c>
      <c r="V469" s="207">
        <f>ROUND((K469*I469+1.3*K469*M469+R469*F469),4)</f>
        <v>69.569999999999993</v>
      </c>
      <c r="W469" s="207">
        <f>ROUND((L469*I469+1.3*L469*M469+R469*F469),4)</f>
        <v>69.569999999999993</v>
      </c>
      <c r="X469" s="207">
        <f>ROUND((L469*I469+1.3*L469*M469+R469*F469),4)</f>
        <v>69.569999999999993</v>
      </c>
      <c r="Y469" s="385">
        <f>ROUND((O469*S469*E469*N469/1000000),4)</f>
        <v>0.1489</v>
      </c>
      <c r="Z469" s="385">
        <f>ROUND((P469*T469*E469*N469/1000000),4)</f>
        <v>0</v>
      </c>
      <c r="AA469" s="385">
        <f>ROUND((Q469*U469*E469*N469/1000000),4)</f>
        <v>0</v>
      </c>
      <c r="AB469" s="931" t="s">
        <v>48</v>
      </c>
      <c r="AC469" s="932" t="s">
        <v>49</v>
      </c>
      <c r="AD469" s="933">
        <f>ROUND((((W469*D469)/1800)*0.8),4)</f>
        <v>3.09E-2</v>
      </c>
      <c r="AE469" s="933">
        <f>ROUND(((Y469+Z469+AA469)*0.8),4)</f>
        <v>0.1191</v>
      </c>
      <c r="AF469" s="61"/>
      <c r="AG469" s="61"/>
      <c r="AH469" s="61"/>
      <c r="AI469" s="61"/>
    </row>
    <row r="470" spans="1:35" s="417" customFormat="1" ht="15" customHeight="1" x14ac:dyDescent="0.2">
      <c r="A470" s="552" t="s">
        <v>492</v>
      </c>
      <c r="B470" s="399" t="s">
        <v>359</v>
      </c>
      <c r="C470" s="387"/>
      <c r="D470" s="209"/>
      <c r="E470" s="209"/>
      <c r="F470" s="209"/>
      <c r="G470" s="209"/>
      <c r="H470" s="209"/>
      <c r="I470" s="209"/>
      <c r="J470" s="209"/>
      <c r="K470" s="209"/>
      <c r="L470" s="209"/>
      <c r="M470" s="209"/>
      <c r="N470" s="209"/>
      <c r="O470" s="209"/>
      <c r="P470" s="209"/>
      <c r="Q470" s="209"/>
      <c r="R470" s="388"/>
      <c r="S470" s="215"/>
      <c r="T470" s="215"/>
      <c r="U470" s="215"/>
      <c r="V470" s="215"/>
      <c r="W470" s="215"/>
      <c r="X470" s="215"/>
      <c r="Y470" s="215"/>
      <c r="Z470" s="215"/>
      <c r="AA470" s="215"/>
      <c r="AB470" s="931" t="s">
        <v>51</v>
      </c>
      <c r="AC470" s="932" t="s">
        <v>52</v>
      </c>
      <c r="AD470" s="933">
        <f>ROUND((((W469*D469)/1800)*0.13),4)</f>
        <v>5.0000000000000001E-3</v>
      </c>
      <c r="AE470" s="933">
        <f>ROUND(((Y469+Z469+AA469)*0.13),4)</f>
        <v>1.9400000000000001E-2</v>
      </c>
      <c r="AF470" s="61"/>
      <c r="AG470" s="61"/>
      <c r="AH470" s="61"/>
      <c r="AI470" s="61"/>
    </row>
    <row r="471" spans="1:35" s="417" customFormat="1" ht="15" customHeight="1" x14ac:dyDescent="0.2">
      <c r="A471" s="558"/>
      <c r="B471" s="387" t="s">
        <v>360</v>
      </c>
      <c r="C471" s="389"/>
      <c r="D471" s="209"/>
      <c r="E471" s="209"/>
      <c r="F471" s="209"/>
      <c r="G471" s="209"/>
      <c r="H471" s="209"/>
      <c r="I471" s="209"/>
      <c r="J471" s="209"/>
      <c r="K471" s="209">
        <v>0.19</v>
      </c>
      <c r="L471" s="209">
        <v>0.23</v>
      </c>
      <c r="M471" s="209"/>
      <c r="N471" s="209"/>
      <c r="O471" s="209"/>
      <c r="P471" s="209"/>
      <c r="Q471" s="209"/>
      <c r="R471" s="133">
        <v>9.7000000000000003E-2</v>
      </c>
      <c r="S471" s="207">
        <f>ROUND((K471*H469+1.3*K471*J469+R471*G469),4)</f>
        <v>69.802499999999995</v>
      </c>
      <c r="T471" s="207">
        <f>ROUND((L471*0.9*H469+1.3*L471*0.9*J469+R471*G469),4)</f>
        <v>75.527299999999997</v>
      </c>
      <c r="U471" s="207">
        <f>ROUND((L471*H469+1.3*L471*J469+R471*G469),4)</f>
        <v>83.272499999999994</v>
      </c>
      <c r="V471" s="207">
        <f>ROUND((K471*I469+1.3*K471*M469+R471*F469),4)</f>
        <v>5.7119999999999997</v>
      </c>
      <c r="W471" s="207">
        <f>ROUND((L471*0.9*I469+1.3*L471*0.9*M469+R471*F469),4)</f>
        <v>6.1710000000000003</v>
      </c>
      <c r="X471" s="207">
        <f>ROUND((L471*I469+1.3*L471*M469+R471*F469),4)</f>
        <v>6.7919999999999998</v>
      </c>
      <c r="Y471" s="385">
        <f>ROUND((O469*S471*E469*N469/1000000),4)</f>
        <v>1.21E-2</v>
      </c>
      <c r="Z471" s="385">
        <f>ROUND((P469*T471*E469*N469/1000000),4)</f>
        <v>0</v>
      </c>
      <c r="AA471" s="385">
        <f>ROUND((Q469*U471*E469*N469/1000000),4)</f>
        <v>0</v>
      </c>
      <c r="AB471" s="931" t="s">
        <v>56</v>
      </c>
      <c r="AC471" s="932" t="s">
        <v>57</v>
      </c>
      <c r="AD471" s="933">
        <f>ROUND((((W471*D469)/1800)),4)</f>
        <v>3.3999999999999998E-3</v>
      </c>
      <c r="AE471" s="933">
        <f>ROUND(((Y471+Z471+AA471)),5)</f>
        <v>1.21E-2</v>
      </c>
      <c r="AF471" s="61"/>
      <c r="AG471" s="61"/>
      <c r="AH471" s="61"/>
      <c r="AI471" s="61"/>
    </row>
    <row r="472" spans="1:35" s="417" customFormat="1" ht="15" customHeight="1" x14ac:dyDescent="0.2">
      <c r="A472" s="558"/>
      <c r="B472" s="387"/>
      <c r="C472" s="387"/>
      <c r="D472" s="209"/>
      <c r="E472" s="209"/>
      <c r="F472" s="209"/>
      <c r="G472" s="209"/>
      <c r="H472" s="209"/>
      <c r="I472" s="209"/>
      <c r="J472" s="209"/>
      <c r="K472" s="209">
        <v>0.43</v>
      </c>
      <c r="L472" s="209">
        <v>0.51</v>
      </c>
      <c r="M472" s="209"/>
      <c r="N472" s="209"/>
      <c r="O472" s="209"/>
      <c r="P472" s="209"/>
      <c r="Q472" s="209"/>
      <c r="R472" s="133">
        <v>0.3</v>
      </c>
      <c r="S472" s="207">
        <f>ROUND((K472*H469+1.3*K472*J469+R472*G469),4)</f>
        <v>162.80250000000001</v>
      </c>
      <c r="T472" s="207">
        <f>ROUND((L472*0.9*H469+1.3*L472*0.9*J469+R472*G469),4)</f>
        <v>172.56829999999999</v>
      </c>
      <c r="U472" s="207">
        <f>ROUND((L472*H469+1.3*L472*J469+R472*G469),4)</f>
        <v>189.74250000000001</v>
      </c>
      <c r="V472" s="207">
        <f>ROUND((K472*I469+1.3*K472*M469+R472*F469),4)</f>
        <v>13.41</v>
      </c>
      <c r="W472" s="207">
        <f>ROUND((L472*0.9*I469+1.3*L472*0.9*M469+R472*F469),4)</f>
        <v>14.193</v>
      </c>
      <c r="X472" s="207">
        <f>ROUND((L472*I469+1.3*M469+R472*F469),4)</f>
        <v>21.94</v>
      </c>
      <c r="Y472" s="385">
        <f>ROUND((O469*S472*E469*N469/1000000),4)</f>
        <v>2.8199999999999999E-2</v>
      </c>
      <c r="Z472" s="385">
        <f>ROUND((P469*T472*E469*N469/1000000),4)</f>
        <v>0</v>
      </c>
      <c r="AA472" s="385">
        <f>ROUND((Q469*U472*E469*N469/1000000),4)</f>
        <v>0</v>
      </c>
      <c r="AB472" s="931" t="s">
        <v>177</v>
      </c>
      <c r="AC472" s="932" t="s">
        <v>178</v>
      </c>
      <c r="AD472" s="933">
        <f>ROUND((((W472*D469)/1800)),4)</f>
        <v>7.9000000000000008E-3</v>
      </c>
      <c r="AE472" s="933">
        <f>ROUND(((Y472+Z472+AA472)),4)</f>
        <v>2.8199999999999999E-2</v>
      </c>
      <c r="AF472" s="61"/>
      <c r="AG472" s="61"/>
      <c r="AH472" s="61"/>
      <c r="AI472" s="61"/>
    </row>
    <row r="473" spans="1:35" s="417" customFormat="1" ht="15" customHeight="1" x14ac:dyDescent="0.2">
      <c r="A473" s="558"/>
      <c r="B473" s="387"/>
      <c r="C473" s="387"/>
      <c r="D473" s="209"/>
      <c r="E473" s="209"/>
      <c r="F473" s="209"/>
      <c r="G473" s="209"/>
      <c r="H473" s="209"/>
      <c r="I473" s="209"/>
      <c r="J473" s="209"/>
      <c r="K473" s="209">
        <v>0.27</v>
      </c>
      <c r="L473" s="209">
        <v>0.41</v>
      </c>
      <c r="M473" s="209"/>
      <c r="N473" s="209"/>
      <c r="O473" s="209"/>
      <c r="P473" s="209"/>
      <c r="Q473" s="209"/>
      <c r="R473" s="133">
        <v>0.06</v>
      </c>
      <c r="S473" s="207">
        <f>ROUND((K473*H469+1.3*K473*J469+R473*G469),4)</f>
        <v>94.522499999999994</v>
      </c>
      <c r="T473" s="207">
        <f>ROUND((L473*0.9*H469+1.3*L473*0.9*J469+R473*G469),4)</f>
        <v>127.8608</v>
      </c>
      <c r="U473" s="207">
        <f>ROUND((L473*H469+1.3*L473*J469+R473*G469),4)</f>
        <v>141.66749999999999</v>
      </c>
      <c r="V473" s="207">
        <f>ROUND((K473*I469+1.3*K473*M469+R473*F469),4)</f>
        <v>7.65</v>
      </c>
      <c r="W473" s="207">
        <f>ROUND((L473*0.9*I469+1.3*L473*0.9*M469+R473*F469),4)</f>
        <v>10.323</v>
      </c>
      <c r="X473" s="207">
        <f>ROUND((L473*I469+1.3*L473*M469+R473*F469),4)</f>
        <v>11.43</v>
      </c>
      <c r="Y473" s="385">
        <f>ROUND((O469*S473*E469*N469/1000000),4)</f>
        <v>1.6400000000000001E-2</v>
      </c>
      <c r="Z473" s="385">
        <f>ROUND((P469*T473*E469*N469/1000000),4)</f>
        <v>0</v>
      </c>
      <c r="AA473" s="385">
        <f>ROUND((Q469*U473*E469*N469/1000000),4)</f>
        <v>0</v>
      </c>
      <c r="AB473" s="931" t="s">
        <v>61</v>
      </c>
      <c r="AC473" s="932" t="s">
        <v>62</v>
      </c>
      <c r="AD473" s="933">
        <f>ROUND((((W473*D469)/1800)),4)</f>
        <v>5.7000000000000002E-3</v>
      </c>
      <c r="AE473" s="933">
        <f>ROUND(((Y473+Z473+AA473)),4)</f>
        <v>1.6400000000000001E-2</v>
      </c>
      <c r="AF473" s="61"/>
      <c r="AG473" s="61"/>
      <c r="AH473" s="61"/>
      <c r="AI473" s="61"/>
    </row>
    <row r="474" spans="1:35" s="417" customFormat="1" ht="15" customHeight="1" x14ac:dyDescent="0.2">
      <c r="A474" s="563"/>
      <c r="B474" s="214"/>
      <c r="C474" s="214"/>
      <c r="D474" s="210"/>
      <c r="E474" s="210"/>
      <c r="F474" s="210"/>
      <c r="G474" s="210"/>
      <c r="H474" s="210"/>
      <c r="I474" s="210"/>
      <c r="J474" s="210"/>
      <c r="K474" s="210">
        <v>1.29</v>
      </c>
      <c r="L474" s="210">
        <v>1.57</v>
      </c>
      <c r="M474" s="210"/>
      <c r="N474" s="210"/>
      <c r="O474" s="210"/>
      <c r="P474" s="210"/>
      <c r="Q474" s="210"/>
      <c r="R474" s="133">
        <v>2.4</v>
      </c>
      <c r="S474" s="134">
        <f>ROUND((K474*H469+1.3*K474*J469+R474*G469),4)</f>
        <v>578.40750000000003</v>
      </c>
      <c r="T474" s="134">
        <f>ROUND((L474*0.9*H469+1.3*L474*0.9*J469+R474*G469),4)</f>
        <v>619.82780000000002</v>
      </c>
      <c r="U474" s="134">
        <f>ROUND((L474*H469+1.3*L474*J469+R474*G469),4)</f>
        <v>672.69749999999999</v>
      </c>
      <c r="V474" s="134">
        <f>ROUND((K474*I469+1.3*K474*M469+R474*F469),4)</f>
        <v>49.23</v>
      </c>
      <c r="W474" s="134">
        <f>ROUND((L474*0.9*I469+1.3*L474*0.9*M469+R474*F469),4)</f>
        <v>52.551000000000002</v>
      </c>
      <c r="X474" s="134">
        <f>ROUND((L474*I469+1.3*L474*M469+R474*F469),4)</f>
        <v>56.79</v>
      </c>
      <c r="Y474" s="394">
        <f>ROUND((O469*S474*E469*N469/1000000),4)</f>
        <v>0.10009999999999999</v>
      </c>
      <c r="Z474" s="394">
        <f>ROUND((P469*T474*E469*N469/1000000),4)</f>
        <v>0</v>
      </c>
      <c r="AA474" s="394">
        <f>ROUND((Q469*U474*E469*N469/1000000),4)</f>
        <v>0</v>
      </c>
      <c r="AB474" s="931" t="s">
        <v>65</v>
      </c>
      <c r="AC474" s="932" t="s">
        <v>66</v>
      </c>
      <c r="AD474" s="933">
        <f>ROUND((((W474*D469)/1800)),4)</f>
        <v>2.92E-2</v>
      </c>
      <c r="AE474" s="933">
        <f>ROUND(((Y474+Z474+AA474)),4)</f>
        <v>0.10009999999999999</v>
      </c>
      <c r="AF474" s="61">
        <f>SUM(AD469:AD474)</f>
        <v>8.2100000000000006E-2</v>
      </c>
      <c r="AG474" s="61">
        <f>SUM(AE469:AE474)</f>
        <v>0.29530000000000001</v>
      </c>
      <c r="AH474" s="61"/>
      <c r="AI474" s="61"/>
    </row>
    <row r="475" spans="1:35" s="417" customFormat="1" ht="15" customHeight="1" x14ac:dyDescent="0.2">
      <c r="A475" s="1449" t="s">
        <v>528</v>
      </c>
      <c r="B475" s="1450"/>
      <c r="C475" s="1451"/>
      <c r="D475" s="1451"/>
      <c r="E475" s="1451"/>
      <c r="F475" s="1451"/>
      <c r="G475" s="1451"/>
      <c r="H475" s="1451"/>
      <c r="I475" s="1451"/>
      <c r="J475" s="1451"/>
      <c r="K475" s="1451"/>
      <c r="L475" s="1451"/>
      <c r="M475" s="1451"/>
      <c r="N475" s="1451"/>
      <c r="O475" s="1451"/>
      <c r="P475" s="1451"/>
      <c r="Q475" s="1451"/>
      <c r="R475" s="1451"/>
      <c r="S475" s="1451"/>
      <c r="T475" s="1451"/>
      <c r="U475" s="1451"/>
      <c r="V475" s="1451"/>
      <c r="W475" s="1451"/>
      <c r="X475" s="1451"/>
      <c r="Y475" s="1451"/>
      <c r="Z475" s="1451"/>
      <c r="AA475" s="1451"/>
      <c r="AB475" s="1451"/>
      <c r="AC475" s="1451"/>
      <c r="AD475" s="1451"/>
      <c r="AE475" s="1452"/>
      <c r="AF475" s="61"/>
      <c r="AG475" s="61"/>
      <c r="AH475" s="61"/>
      <c r="AI475" s="61"/>
    </row>
    <row r="476" spans="1:35" s="417" customFormat="1" ht="15" customHeight="1" x14ac:dyDescent="0.2">
      <c r="A476" s="551" t="s">
        <v>520</v>
      </c>
      <c r="B476" s="398" t="s">
        <v>343</v>
      </c>
      <c r="C476" s="212">
        <v>4</v>
      </c>
      <c r="D476" s="170">
        <v>1</v>
      </c>
      <c r="E476" s="170">
        <v>1</v>
      </c>
      <c r="F476" s="170">
        <v>6</v>
      </c>
      <c r="G476" s="170">
        <v>60</v>
      </c>
      <c r="H476" s="170">
        <f>(8-1-0.75*2)*60*E476-J476-8*0.12*60</f>
        <v>57.900000000000006</v>
      </c>
      <c r="I476" s="170">
        <v>14</v>
      </c>
      <c r="J476" s="170">
        <f>(8-1-0.75*2)*0.65*60*E476</f>
        <v>214.5</v>
      </c>
      <c r="K476" s="170">
        <v>2.4700000000000002</v>
      </c>
      <c r="L476" s="170">
        <v>2.4700000000000002</v>
      </c>
      <c r="M476" s="170">
        <v>10</v>
      </c>
      <c r="N476" s="170">
        <f>D476/E476</f>
        <v>1</v>
      </c>
      <c r="O476" s="170">
        <v>173</v>
      </c>
      <c r="P476" s="170">
        <v>0</v>
      </c>
      <c r="Q476" s="211">
        <v>0</v>
      </c>
      <c r="R476" s="170">
        <v>0.48</v>
      </c>
      <c r="S476" s="207">
        <f>ROUND((K476*H476+1.3*K476*J476+R476*G476),4)</f>
        <v>860.57249999999999</v>
      </c>
      <c r="T476" s="207">
        <f>ROUND((L476*H476+1.3*L476*J476+R476*G476),4)</f>
        <v>860.57249999999999</v>
      </c>
      <c r="U476" s="207">
        <f>ROUND((L476*H476+1.3*L476*J476+R476*G476),4)</f>
        <v>860.57249999999999</v>
      </c>
      <c r="V476" s="207">
        <f>ROUND((K476*I476+1.3*K476*M476+R476*F476),4)</f>
        <v>69.569999999999993</v>
      </c>
      <c r="W476" s="207">
        <f>ROUND((L476*I476+1.3*L476*M476+R476*F476),4)</f>
        <v>69.569999999999993</v>
      </c>
      <c r="X476" s="207">
        <f>ROUND((L476*I476+1.3*L476*M476+R476*F476),4)</f>
        <v>69.569999999999993</v>
      </c>
      <c r="Y476" s="385">
        <f>ROUND((O476*S476*E476*N476/1000000),4)</f>
        <v>0.1489</v>
      </c>
      <c r="Z476" s="385">
        <f>ROUND((P476*T476*E476*N476/1000000),4)</f>
        <v>0</v>
      </c>
      <c r="AA476" s="385">
        <f>ROUND((Q476*U476*E476*N476/1000000),4)</f>
        <v>0</v>
      </c>
      <c r="AB476" s="931" t="s">
        <v>48</v>
      </c>
      <c r="AC476" s="932" t="s">
        <v>49</v>
      </c>
      <c r="AD476" s="933">
        <f>ROUND((((W476*D476)/1800)*0.8),4)</f>
        <v>3.09E-2</v>
      </c>
      <c r="AE476" s="933">
        <f>ROUND(((Y476+Z476+AA476)*0.8),4)</f>
        <v>0.1191</v>
      </c>
      <c r="AF476" s="61"/>
      <c r="AG476" s="61"/>
      <c r="AH476" s="61"/>
      <c r="AI476" s="61"/>
    </row>
    <row r="477" spans="1:35" s="417" customFormat="1" ht="15" customHeight="1" x14ac:dyDescent="0.2">
      <c r="A477" s="552" t="s">
        <v>492</v>
      </c>
      <c r="B477" s="399" t="s">
        <v>359</v>
      </c>
      <c r="C477" s="387"/>
      <c r="D477" s="209"/>
      <c r="E477" s="209"/>
      <c r="F477" s="209"/>
      <c r="G477" s="209"/>
      <c r="H477" s="209"/>
      <c r="I477" s="209"/>
      <c r="J477" s="209"/>
      <c r="K477" s="209"/>
      <c r="L477" s="209"/>
      <c r="M477" s="209"/>
      <c r="N477" s="209"/>
      <c r="O477" s="209"/>
      <c r="P477" s="209"/>
      <c r="Q477" s="209"/>
      <c r="R477" s="388"/>
      <c r="S477" s="215"/>
      <c r="T477" s="215"/>
      <c r="U477" s="215"/>
      <c r="V477" s="215"/>
      <c r="W477" s="215"/>
      <c r="X477" s="215"/>
      <c r="Y477" s="215"/>
      <c r="Z477" s="215"/>
      <c r="AA477" s="215"/>
      <c r="AB477" s="931" t="s">
        <v>51</v>
      </c>
      <c r="AC477" s="932" t="s">
        <v>52</v>
      </c>
      <c r="AD477" s="933">
        <f>ROUND((((W476*D476)/1800)*0.13),4)</f>
        <v>5.0000000000000001E-3</v>
      </c>
      <c r="AE477" s="933">
        <f>ROUND(((Y476+Z476+AA476)*0.13),4)</f>
        <v>1.9400000000000001E-2</v>
      </c>
      <c r="AF477" s="61"/>
      <c r="AG477" s="61"/>
      <c r="AH477" s="61"/>
      <c r="AI477" s="61"/>
    </row>
    <row r="478" spans="1:35" s="417" customFormat="1" ht="15" customHeight="1" x14ac:dyDescent="0.2">
      <c r="A478" s="558"/>
      <c r="B478" s="387" t="s">
        <v>360</v>
      </c>
      <c r="C478" s="389"/>
      <c r="D478" s="209"/>
      <c r="E478" s="209"/>
      <c r="F478" s="209"/>
      <c r="G478" s="209"/>
      <c r="H478" s="209"/>
      <c r="I478" s="209"/>
      <c r="J478" s="209"/>
      <c r="K478" s="209">
        <v>0.19</v>
      </c>
      <c r="L478" s="209">
        <v>0.23</v>
      </c>
      <c r="M478" s="209"/>
      <c r="N478" s="209"/>
      <c r="O478" s="209"/>
      <c r="P478" s="209"/>
      <c r="Q478" s="209"/>
      <c r="R478" s="133">
        <v>9.7000000000000003E-2</v>
      </c>
      <c r="S478" s="207">
        <f>ROUND((K478*H476+1.3*K478*J476+R478*G476),4)</f>
        <v>69.802499999999995</v>
      </c>
      <c r="T478" s="207">
        <f>ROUND((L478*0.9*H476+1.3*L478*0.9*J476+R478*G476),4)</f>
        <v>75.527299999999997</v>
      </c>
      <c r="U478" s="207">
        <f>ROUND((L478*H476+1.3*L478*J476+R478*G476),4)</f>
        <v>83.272499999999994</v>
      </c>
      <c r="V478" s="207">
        <f>ROUND((K478*I476+1.3*K478*M476+R478*F476),4)</f>
        <v>5.7119999999999997</v>
      </c>
      <c r="W478" s="207">
        <f>ROUND((L478*0.9*I476+1.3*L478*0.9*M476+R478*F476),4)</f>
        <v>6.1710000000000003</v>
      </c>
      <c r="X478" s="207">
        <f>ROUND((L478*I476+1.3*L478*M476+R478*F476),4)</f>
        <v>6.7919999999999998</v>
      </c>
      <c r="Y478" s="385">
        <f>ROUND((O476*S478*E476*N476/1000000),4)</f>
        <v>1.21E-2</v>
      </c>
      <c r="Z478" s="385">
        <f>ROUND((P476*T478*E476*N476/1000000),4)</f>
        <v>0</v>
      </c>
      <c r="AA478" s="385">
        <f>ROUND((Q476*U478*E476*N476/1000000),4)</f>
        <v>0</v>
      </c>
      <c r="AB478" s="931" t="s">
        <v>56</v>
      </c>
      <c r="AC478" s="932" t="s">
        <v>57</v>
      </c>
      <c r="AD478" s="933">
        <f>ROUND((((W478*D476)/1800)),4)</f>
        <v>3.3999999999999998E-3</v>
      </c>
      <c r="AE478" s="933">
        <f>ROUND(((Y478+Z478+AA478)),5)</f>
        <v>1.21E-2</v>
      </c>
      <c r="AF478" s="61"/>
      <c r="AG478" s="61"/>
      <c r="AH478" s="61"/>
      <c r="AI478" s="61"/>
    </row>
    <row r="479" spans="1:35" s="417" customFormat="1" ht="15" customHeight="1" x14ac:dyDescent="0.2">
      <c r="A479" s="558"/>
      <c r="B479" s="387"/>
      <c r="C479" s="387"/>
      <c r="D479" s="209"/>
      <c r="E479" s="209"/>
      <c r="F479" s="209"/>
      <c r="G479" s="209"/>
      <c r="H479" s="209"/>
      <c r="I479" s="209"/>
      <c r="J479" s="209"/>
      <c r="K479" s="209">
        <v>0.43</v>
      </c>
      <c r="L479" s="209">
        <v>0.51</v>
      </c>
      <c r="M479" s="209"/>
      <c r="N479" s="209"/>
      <c r="O479" s="209"/>
      <c r="P479" s="209"/>
      <c r="Q479" s="209"/>
      <c r="R479" s="133">
        <v>0.3</v>
      </c>
      <c r="S479" s="207">
        <f>ROUND((K479*H476+1.3*K479*J476+R479*G476),4)</f>
        <v>162.80250000000001</v>
      </c>
      <c r="T479" s="207">
        <f>ROUND((L479*0.9*H476+1.3*L479*0.9*J476+R479*G476),4)</f>
        <v>172.56829999999999</v>
      </c>
      <c r="U479" s="207">
        <f>ROUND((L479*H476+1.3*L479*J476+R479*G476),4)</f>
        <v>189.74250000000001</v>
      </c>
      <c r="V479" s="207">
        <f>ROUND((K479*I476+1.3*K479*M476+R479*F476),4)</f>
        <v>13.41</v>
      </c>
      <c r="W479" s="207">
        <f>ROUND((L479*0.9*I476+1.3*L479*0.9*M476+R479*F476),4)</f>
        <v>14.193</v>
      </c>
      <c r="X479" s="207">
        <f>ROUND((L479*I476+1.3*M476+R479*F476),4)</f>
        <v>21.94</v>
      </c>
      <c r="Y479" s="385">
        <f>ROUND((O476*S479*E476*N476/1000000),4)</f>
        <v>2.8199999999999999E-2</v>
      </c>
      <c r="Z479" s="385">
        <f>ROUND((P476*T479*E476*N476/1000000),4)</f>
        <v>0</v>
      </c>
      <c r="AA479" s="385">
        <f>ROUND((Q476*U479*E476*N476/1000000),4)</f>
        <v>0</v>
      </c>
      <c r="AB479" s="931" t="s">
        <v>177</v>
      </c>
      <c r="AC479" s="932" t="s">
        <v>178</v>
      </c>
      <c r="AD479" s="933">
        <f>ROUND((((W479*D476)/1800)),4)</f>
        <v>7.9000000000000008E-3</v>
      </c>
      <c r="AE479" s="933">
        <f>ROUND(((Y479+Z479+AA479)),4)</f>
        <v>2.8199999999999999E-2</v>
      </c>
      <c r="AF479" s="61"/>
      <c r="AG479" s="61"/>
      <c r="AH479" s="61"/>
      <c r="AI479" s="61"/>
    </row>
    <row r="480" spans="1:35" s="417" customFormat="1" ht="15" customHeight="1" x14ac:dyDescent="0.2">
      <c r="A480" s="558"/>
      <c r="B480" s="387"/>
      <c r="C480" s="387"/>
      <c r="D480" s="209"/>
      <c r="E480" s="209"/>
      <c r="F480" s="209"/>
      <c r="G480" s="209"/>
      <c r="H480" s="209"/>
      <c r="I480" s="209"/>
      <c r="J480" s="209"/>
      <c r="K480" s="209">
        <v>0.27</v>
      </c>
      <c r="L480" s="209">
        <v>0.41</v>
      </c>
      <c r="M480" s="209"/>
      <c r="N480" s="209"/>
      <c r="O480" s="209"/>
      <c r="P480" s="209"/>
      <c r="Q480" s="209"/>
      <c r="R480" s="133">
        <v>0.06</v>
      </c>
      <c r="S480" s="207">
        <f>ROUND((K480*H476+1.3*K480*J476+R480*G476),4)</f>
        <v>94.522499999999994</v>
      </c>
      <c r="T480" s="207">
        <f>ROUND((L480*0.9*H476+1.3*L480*0.9*J476+R480*G476),4)</f>
        <v>127.8608</v>
      </c>
      <c r="U480" s="207">
        <f>ROUND((L480*H476+1.3*L480*J476+R480*G476),4)</f>
        <v>141.66749999999999</v>
      </c>
      <c r="V480" s="207">
        <f>ROUND((K480*I476+1.3*K480*M476+R480*F476),4)</f>
        <v>7.65</v>
      </c>
      <c r="W480" s="207">
        <f>ROUND((L480*0.9*I476+1.3*L480*0.9*M476+R480*F476),4)</f>
        <v>10.323</v>
      </c>
      <c r="X480" s="207">
        <f>ROUND((L480*I476+1.3*L480*M476+R480*F476),4)</f>
        <v>11.43</v>
      </c>
      <c r="Y480" s="385">
        <f>ROUND((O476*S480*E476*N476/1000000),4)</f>
        <v>1.6400000000000001E-2</v>
      </c>
      <c r="Z480" s="385">
        <f>ROUND((P476*T480*E476*N476/1000000),4)</f>
        <v>0</v>
      </c>
      <c r="AA480" s="385">
        <f>ROUND((Q476*U480*E476*N476/1000000),4)</f>
        <v>0</v>
      </c>
      <c r="AB480" s="931" t="s">
        <v>61</v>
      </c>
      <c r="AC480" s="932" t="s">
        <v>62</v>
      </c>
      <c r="AD480" s="933">
        <f>ROUND((((W480*D476)/1800)),4)</f>
        <v>5.7000000000000002E-3</v>
      </c>
      <c r="AE480" s="933">
        <f>ROUND(((Y480+Z480+AA480)),4)</f>
        <v>1.6400000000000001E-2</v>
      </c>
      <c r="AF480" s="61"/>
      <c r="AG480" s="61"/>
      <c r="AH480" s="61"/>
      <c r="AI480" s="61"/>
    </row>
    <row r="481" spans="1:35" s="417" customFormat="1" ht="15" customHeight="1" x14ac:dyDescent="0.2">
      <c r="A481" s="563"/>
      <c r="B481" s="214"/>
      <c r="C481" s="214"/>
      <c r="D481" s="210"/>
      <c r="E481" s="210"/>
      <c r="F481" s="210"/>
      <c r="G481" s="210"/>
      <c r="H481" s="210"/>
      <c r="I481" s="210"/>
      <c r="J481" s="210"/>
      <c r="K481" s="210">
        <v>1.29</v>
      </c>
      <c r="L481" s="210">
        <v>1.57</v>
      </c>
      <c r="M481" s="210"/>
      <c r="N481" s="210"/>
      <c r="O481" s="210"/>
      <c r="P481" s="210"/>
      <c r="Q481" s="210"/>
      <c r="R481" s="133">
        <v>2.4</v>
      </c>
      <c r="S481" s="134">
        <f>ROUND((K481*H476+1.3*K481*J476+R481*G476),4)</f>
        <v>578.40750000000003</v>
      </c>
      <c r="T481" s="134">
        <f>ROUND((L481*0.9*H476+1.3*L481*0.9*J476+R481*G476),4)</f>
        <v>619.82780000000002</v>
      </c>
      <c r="U481" s="134">
        <f>ROUND((L481*H476+1.3*L481*J476+R481*G476),4)</f>
        <v>672.69749999999999</v>
      </c>
      <c r="V481" s="134">
        <f>ROUND((K481*I476+1.3*K481*M476+R481*F476),4)</f>
        <v>49.23</v>
      </c>
      <c r="W481" s="134">
        <f>ROUND((L481*0.9*I476+1.3*L481*0.9*M476+R481*F476),4)</f>
        <v>52.551000000000002</v>
      </c>
      <c r="X481" s="134">
        <f>ROUND((L481*I476+1.3*L481*M476+R481*F476),4)</f>
        <v>56.79</v>
      </c>
      <c r="Y481" s="394">
        <f>ROUND((O476*S481*E476*N476/1000000),4)</f>
        <v>0.10009999999999999</v>
      </c>
      <c r="Z481" s="394">
        <f>ROUND((P476*T481*E476*N476/1000000),4)</f>
        <v>0</v>
      </c>
      <c r="AA481" s="394">
        <f>ROUND((Q476*U481*E476*N476/1000000),4)</f>
        <v>0</v>
      </c>
      <c r="AB481" s="931" t="s">
        <v>65</v>
      </c>
      <c r="AC481" s="932" t="s">
        <v>66</v>
      </c>
      <c r="AD481" s="933">
        <f>ROUND((((W481*D476)/1800)),4)</f>
        <v>2.92E-2</v>
      </c>
      <c r="AE481" s="933">
        <f>ROUND(((Y481+Z481+AA481)),4)</f>
        <v>0.10009999999999999</v>
      </c>
      <c r="AF481" s="61">
        <f>SUM(AD476:AD481)</f>
        <v>8.2100000000000006E-2</v>
      </c>
      <c r="AG481" s="61">
        <f>SUM(AE476:AE481)</f>
        <v>0.29530000000000001</v>
      </c>
      <c r="AH481" s="61"/>
      <c r="AI481" s="61"/>
    </row>
    <row r="482" spans="1:35" s="417" customFormat="1" ht="15" customHeight="1" x14ac:dyDescent="0.2">
      <c r="A482" s="1449" t="s">
        <v>531</v>
      </c>
      <c r="B482" s="1450"/>
      <c r="C482" s="1451"/>
      <c r="D482" s="1451"/>
      <c r="E482" s="1451"/>
      <c r="F482" s="1451"/>
      <c r="G482" s="1451"/>
      <c r="H482" s="1451"/>
      <c r="I482" s="1451"/>
      <c r="J482" s="1451"/>
      <c r="K482" s="1451"/>
      <c r="L482" s="1451"/>
      <c r="M482" s="1451"/>
      <c r="N482" s="1451"/>
      <c r="O482" s="1451"/>
      <c r="P482" s="1451"/>
      <c r="Q482" s="1451"/>
      <c r="R482" s="1451"/>
      <c r="S482" s="1451"/>
      <c r="T482" s="1451"/>
      <c r="U482" s="1451"/>
      <c r="V482" s="1451"/>
      <c r="W482" s="1451"/>
      <c r="X482" s="1451"/>
      <c r="Y482" s="1451"/>
      <c r="Z482" s="1451"/>
      <c r="AA482" s="1451"/>
      <c r="AB482" s="1451"/>
      <c r="AC482" s="1451"/>
      <c r="AD482" s="1451"/>
      <c r="AE482" s="1452"/>
      <c r="AF482" s="61"/>
      <c r="AG482" s="61"/>
      <c r="AH482" s="61"/>
      <c r="AI482" s="61"/>
    </row>
    <row r="483" spans="1:35" s="417" customFormat="1" ht="15" customHeight="1" x14ac:dyDescent="0.2">
      <c r="A483" s="551" t="s">
        <v>521</v>
      </c>
      <c r="B483" s="398" t="s">
        <v>343</v>
      </c>
      <c r="C483" s="212">
        <v>4</v>
      </c>
      <c r="D483" s="170">
        <v>1</v>
      </c>
      <c r="E483" s="170">
        <v>1</v>
      </c>
      <c r="F483" s="170">
        <v>6</v>
      </c>
      <c r="G483" s="170">
        <v>60</v>
      </c>
      <c r="H483" s="170">
        <f>(8-1-0.75*2)*60*E483-J483-8*0.12*60</f>
        <v>57.900000000000006</v>
      </c>
      <c r="I483" s="170">
        <v>14</v>
      </c>
      <c r="J483" s="170">
        <f>(8-1-0.75*2)*0.65*60*E483</f>
        <v>214.5</v>
      </c>
      <c r="K483" s="170">
        <v>2.4700000000000002</v>
      </c>
      <c r="L483" s="170">
        <v>2.4700000000000002</v>
      </c>
      <c r="M483" s="170">
        <v>10</v>
      </c>
      <c r="N483" s="170">
        <f>D483/E483</f>
        <v>1</v>
      </c>
      <c r="O483" s="170">
        <v>173</v>
      </c>
      <c r="P483" s="170">
        <v>0</v>
      </c>
      <c r="Q483" s="211">
        <v>0</v>
      </c>
      <c r="R483" s="170">
        <v>0.48</v>
      </c>
      <c r="S483" s="207">
        <f>ROUND((K483*H483+1.3*K483*J483+R483*G483),4)</f>
        <v>860.57249999999999</v>
      </c>
      <c r="T483" s="207">
        <f>ROUND((L483*H483+1.3*L483*J483+R483*G483),4)</f>
        <v>860.57249999999999</v>
      </c>
      <c r="U483" s="207">
        <f>ROUND((L483*H483+1.3*L483*J483+R483*G483),4)</f>
        <v>860.57249999999999</v>
      </c>
      <c r="V483" s="207">
        <f>ROUND((K483*I483+1.3*K483*M483+R483*F483),4)</f>
        <v>69.569999999999993</v>
      </c>
      <c r="W483" s="207">
        <f>ROUND((L483*I483+1.3*L483*M483+R483*F483),4)</f>
        <v>69.569999999999993</v>
      </c>
      <c r="X483" s="207">
        <f>ROUND((L483*I483+1.3*L483*M483+R483*F483),4)</f>
        <v>69.569999999999993</v>
      </c>
      <c r="Y483" s="385">
        <f>ROUND((O483*S483*E483*N483/1000000),4)</f>
        <v>0.1489</v>
      </c>
      <c r="Z483" s="385">
        <f>ROUND((P483*T483*E483*N483/1000000),4)</f>
        <v>0</v>
      </c>
      <c r="AA483" s="385">
        <f>ROUND((Q483*U483*E483*N483/1000000),4)</f>
        <v>0</v>
      </c>
      <c r="AB483" s="931" t="s">
        <v>48</v>
      </c>
      <c r="AC483" s="932" t="s">
        <v>49</v>
      </c>
      <c r="AD483" s="933">
        <f>ROUND((((W483*D483)/1800)*0.8),4)</f>
        <v>3.09E-2</v>
      </c>
      <c r="AE483" s="933">
        <f>ROUND(((Y483+Z483+AA483)*0.8),4)</f>
        <v>0.1191</v>
      </c>
      <c r="AF483" s="61"/>
      <c r="AG483" s="61"/>
      <c r="AH483" s="61"/>
      <c r="AI483" s="61"/>
    </row>
    <row r="484" spans="1:35" s="417" customFormat="1" ht="15" customHeight="1" x14ac:dyDescent="0.2">
      <c r="A484" s="552" t="s">
        <v>492</v>
      </c>
      <c r="B484" s="399" t="s">
        <v>359</v>
      </c>
      <c r="C484" s="387"/>
      <c r="D484" s="209"/>
      <c r="E484" s="209"/>
      <c r="F484" s="209"/>
      <c r="G484" s="209"/>
      <c r="H484" s="209"/>
      <c r="I484" s="209"/>
      <c r="J484" s="209"/>
      <c r="K484" s="209"/>
      <c r="L484" s="209"/>
      <c r="M484" s="209"/>
      <c r="N484" s="209"/>
      <c r="O484" s="209"/>
      <c r="P484" s="209"/>
      <c r="Q484" s="209"/>
      <c r="R484" s="388"/>
      <c r="S484" s="215"/>
      <c r="T484" s="215"/>
      <c r="U484" s="215"/>
      <c r="V484" s="215"/>
      <c r="W484" s="215"/>
      <c r="X484" s="215"/>
      <c r="Y484" s="215"/>
      <c r="Z484" s="215"/>
      <c r="AA484" s="215"/>
      <c r="AB484" s="931" t="s">
        <v>51</v>
      </c>
      <c r="AC484" s="932" t="s">
        <v>52</v>
      </c>
      <c r="AD484" s="933">
        <f>ROUND((((W483*D483)/1800)*0.13),4)</f>
        <v>5.0000000000000001E-3</v>
      </c>
      <c r="AE484" s="933">
        <f>ROUND(((Y483+Z483+AA483)*0.13),4)</f>
        <v>1.9400000000000001E-2</v>
      </c>
      <c r="AF484" s="61"/>
      <c r="AG484" s="61"/>
      <c r="AH484" s="61"/>
      <c r="AI484" s="61"/>
    </row>
    <row r="485" spans="1:35" s="417" customFormat="1" ht="15" customHeight="1" x14ac:dyDescent="0.2">
      <c r="A485" s="558"/>
      <c r="B485" s="387" t="s">
        <v>360</v>
      </c>
      <c r="C485" s="389"/>
      <c r="D485" s="209"/>
      <c r="E485" s="209"/>
      <c r="F485" s="209"/>
      <c r="G485" s="209"/>
      <c r="H485" s="209"/>
      <c r="I485" s="209"/>
      <c r="J485" s="209"/>
      <c r="K485" s="209">
        <v>0.19</v>
      </c>
      <c r="L485" s="209">
        <v>0.23</v>
      </c>
      <c r="M485" s="209"/>
      <c r="N485" s="209"/>
      <c r="O485" s="209"/>
      <c r="P485" s="209"/>
      <c r="Q485" s="209"/>
      <c r="R485" s="133">
        <v>9.7000000000000003E-2</v>
      </c>
      <c r="S485" s="207">
        <f>ROUND((K485*H483+1.3*K485*J483+R485*G483),4)</f>
        <v>69.802499999999995</v>
      </c>
      <c r="T485" s="207">
        <f>ROUND((L485*0.9*H483+1.3*L485*0.9*J483+R485*G483),4)</f>
        <v>75.527299999999997</v>
      </c>
      <c r="U485" s="207">
        <f>ROUND((L485*H483+1.3*L485*J483+R485*G483),4)</f>
        <v>83.272499999999994</v>
      </c>
      <c r="V485" s="207">
        <f>ROUND((K485*I483+1.3*K485*M483+R485*F483),4)</f>
        <v>5.7119999999999997</v>
      </c>
      <c r="W485" s="207">
        <f>ROUND((L485*0.9*I483+1.3*L485*0.9*M483+R485*F483),4)</f>
        <v>6.1710000000000003</v>
      </c>
      <c r="X485" s="207">
        <f>ROUND((L485*I483+1.3*L485*M483+R485*F483),4)</f>
        <v>6.7919999999999998</v>
      </c>
      <c r="Y485" s="385">
        <f>ROUND((O483*S485*E483*N483/1000000),4)</f>
        <v>1.21E-2</v>
      </c>
      <c r="Z485" s="385">
        <f>ROUND((P483*T485*E483*N483/1000000),4)</f>
        <v>0</v>
      </c>
      <c r="AA485" s="385">
        <f>ROUND((Q483*U485*E483*N483/1000000),4)</f>
        <v>0</v>
      </c>
      <c r="AB485" s="931" t="s">
        <v>56</v>
      </c>
      <c r="AC485" s="932" t="s">
        <v>57</v>
      </c>
      <c r="AD485" s="933">
        <f>ROUND((((W485*D483)/1800)),4)</f>
        <v>3.3999999999999998E-3</v>
      </c>
      <c r="AE485" s="933">
        <f>ROUND(((Y485+Z485+AA485)),5)</f>
        <v>1.21E-2</v>
      </c>
      <c r="AF485" s="61"/>
      <c r="AG485" s="61"/>
      <c r="AH485" s="61"/>
      <c r="AI485" s="61"/>
    </row>
    <row r="486" spans="1:35" s="417" customFormat="1" ht="15" customHeight="1" x14ac:dyDescent="0.2">
      <c r="A486" s="558"/>
      <c r="B486" s="387"/>
      <c r="C486" s="387"/>
      <c r="D486" s="209"/>
      <c r="E486" s="209"/>
      <c r="F486" s="209"/>
      <c r="G486" s="209"/>
      <c r="H486" s="209"/>
      <c r="I486" s="209"/>
      <c r="J486" s="209"/>
      <c r="K486" s="209">
        <v>0.43</v>
      </c>
      <c r="L486" s="209">
        <v>0.51</v>
      </c>
      <c r="M486" s="209"/>
      <c r="N486" s="209"/>
      <c r="O486" s="209"/>
      <c r="P486" s="209"/>
      <c r="Q486" s="209"/>
      <c r="R486" s="133">
        <v>0.3</v>
      </c>
      <c r="S486" s="207">
        <f>ROUND((K486*H483+1.3*K486*J483+R486*G483),4)</f>
        <v>162.80250000000001</v>
      </c>
      <c r="T486" s="207">
        <f>ROUND((L486*0.9*H483+1.3*L486*0.9*J483+R486*G483),4)</f>
        <v>172.56829999999999</v>
      </c>
      <c r="U486" s="207">
        <f>ROUND((L486*H483+1.3*L486*J483+R486*G483),4)</f>
        <v>189.74250000000001</v>
      </c>
      <c r="V486" s="207">
        <f>ROUND((K486*I483+1.3*K486*M483+R486*F483),4)</f>
        <v>13.41</v>
      </c>
      <c r="W486" s="207">
        <f>ROUND((L486*0.9*I483+1.3*L486*0.9*M483+R486*F483),4)</f>
        <v>14.193</v>
      </c>
      <c r="X486" s="207">
        <f>ROUND((L486*I483+1.3*M483+R486*F483),4)</f>
        <v>21.94</v>
      </c>
      <c r="Y486" s="385">
        <f>ROUND((O483*S486*E483*N483/1000000),4)</f>
        <v>2.8199999999999999E-2</v>
      </c>
      <c r="Z486" s="385">
        <f>ROUND((P483*T486*E483*N483/1000000),4)</f>
        <v>0</v>
      </c>
      <c r="AA486" s="385">
        <f>ROUND((Q483*U486*E483*N483/1000000),4)</f>
        <v>0</v>
      </c>
      <c r="AB486" s="931" t="s">
        <v>177</v>
      </c>
      <c r="AC486" s="932" t="s">
        <v>178</v>
      </c>
      <c r="AD486" s="933">
        <f>ROUND((((W486*D483)/1800)),4)</f>
        <v>7.9000000000000008E-3</v>
      </c>
      <c r="AE486" s="933">
        <f>ROUND(((Y486+Z486+AA486)),4)</f>
        <v>2.8199999999999999E-2</v>
      </c>
      <c r="AF486" s="61"/>
      <c r="AG486" s="61"/>
      <c r="AH486" s="61"/>
      <c r="AI486" s="61"/>
    </row>
    <row r="487" spans="1:35" s="417" customFormat="1" ht="15" customHeight="1" x14ac:dyDescent="0.2">
      <c r="A487" s="558"/>
      <c r="B487" s="387"/>
      <c r="C487" s="387"/>
      <c r="D487" s="209"/>
      <c r="E487" s="209"/>
      <c r="F487" s="209"/>
      <c r="G487" s="209"/>
      <c r="H487" s="209"/>
      <c r="I487" s="209"/>
      <c r="J487" s="209"/>
      <c r="K487" s="209">
        <v>0.27</v>
      </c>
      <c r="L487" s="209">
        <v>0.41</v>
      </c>
      <c r="M487" s="209"/>
      <c r="N487" s="209"/>
      <c r="O487" s="209"/>
      <c r="P487" s="209"/>
      <c r="Q487" s="209"/>
      <c r="R487" s="133">
        <v>0.06</v>
      </c>
      <c r="S487" s="207">
        <f>ROUND((K487*H483+1.3*K487*J483+R487*G483),4)</f>
        <v>94.522499999999994</v>
      </c>
      <c r="T487" s="207">
        <f>ROUND((L487*0.9*H483+1.3*L487*0.9*J483+R487*G483),4)</f>
        <v>127.8608</v>
      </c>
      <c r="U487" s="207">
        <f>ROUND((L487*H483+1.3*L487*J483+R487*G483),4)</f>
        <v>141.66749999999999</v>
      </c>
      <c r="V487" s="207">
        <f>ROUND((K487*I483+1.3*K487*M483+R487*F483),4)</f>
        <v>7.65</v>
      </c>
      <c r="W487" s="207">
        <f>ROUND((L487*0.9*I483+1.3*L487*0.9*M483+R487*F483),4)</f>
        <v>10.323</v>
      </c>
      <c r="X487" s="207">
        <f>ROUND((L487*I483+1.3*L487*M483+R487*F483),4)</f>
        <v>11.43</v>
      </c>
      <c r="Y487" s="385">
        <f>ROUND((O483*S487*E483*N483/1000000),4)</f>
        <v>1.6400000000000001E-2</v>
      </c>
      <c r="Z487" s="385">
        <f>ROUND((P483*T487*E483*N483/1000000),4)</f>
        <v>0</v>
      </c>
      <c r="AA487" s="385">
        <f>ROUND((Q483*U487*E483*N483/1000000),4)</f>
        <v>0</v>
      </c>
      <c r="AB487" s="931" t="s">
        <v>61</v>
      </c>
      <c r="AC487" s="932" t="s">
        <v>62</v>
      </c>
      <c r="AD487" s="933">
        <f>ROUND((((W487*D483)/1800)),4)</f>
        <v>5.7000000000000002E-3</v>
      </c>
      <c r="AE487" s="933">
        <f>ROUND(((Y487+Z487+AA487)),4)</f>
        <v>1.6400000000000001E-2</v>
      </c>
      <c r="AF487" s="61"/>
      <c r="AG487" s="61"/>
      <c r="AH487" s="61"/>
      <c r="AI487" s="61"/>
    </row>
    <row r="488" spans="1:35" s="417" customFormat="1" ht="15" customHeight="1" x14ac:dyDescent="0.2">
      <c r="A488" s="563"/>
      <c r="B488" s="214"/>
      <c r="C488" s="214"/>
      <c r="D488" s="210"/>
      <c r="E488" s="210"/>
      <c r="F488" s="210"/>
      <c r="G488" s="210"/>
      <c r="H488" s="210"/>
      <c r="I488" s="210"/>
      <c r="J488" s="210"/>
      <c r="K488" s="210">
        <v>1.29</v>
      </c>
      <c r="L488" s="210">
        <v>1.57</v>
      </c>
      <c r="M488" s="210"/>
      <c r="N488" s="210"/>
      <c r="O488" s="210"/>
      <c r="P488" s="210"/>
      <c r="Q488" s="210"/>
      <c r="R488" s="133">
        <v>2.4</v>
      </c>
      <c r="S488" s="134">
        <f>ROUND((K488*H483+1.3*K488*J483+R488*G483),4)</f>
        <v>578.40750000000003</v>
      </c>
      <c r="T488" s="134">
        <f>ROUND((L488*0.9*H483+1.3*L488*0.9*J483+R488*G483),4)</f>
        <v>619.82780000000002</v>
      </c>
      <c r="U488" s="134">
        <f>ROUND((L488*H483+1.3*L488*J483+R488*G483),4)</f>
        <v>672.69749999999999</v>
      </c>
      <c r="V488" s="134">
        <f>ROUND((K488*I483+1.3*K488*M483+R488*F483),4)</f>
        <v>49.23</v>
      </c>
      <c r="W488" s="134">
        <f>ROUND((L488*0.9*I483+1.3*L488*0.9*M483+R488*F483),4)</f>
        <v>52.551000000000002</v>
      </c>
      <c r="X488" s="134">
        <f>ROUND((L488*I483+1.3*L488*M483+R488*F483),4)</f>
        <v>56.79</v>
      </c>
      <c r="Y488" s="394">
        <f>ROUND((O483*S488*E483*N483/1000000),4)</f>
        <v>0.10009999999999999</v>
      </c>
      <c r="Z488" s="394">
        <f>ROUND((P483*T488*E483*N483/1000000),4)</f>
        <v>0</v>
      </c>
      <c r="AA488" s="394">
        <f>ROUND((Q483*U488*E483*N483/1000000),4)</f>
        <v>0</v>
      </c>
      <c r="AB488" s="931" t="s">
        <v>65</v>
      </c>
      <c r="AC488" s="932" t="s">
        <v>66</v>
      </c>
      <c r="AD488" s="933">
        <f>ROUND((((W488*D483)/1800)),4)</f>
        <v>2.92E-2</v>
      </c>
      <c r="AE488" s="933">
        <f>ROUND(((Y488+Z488+AA488)),4)</f>
        <v>0.10009999999999999</v>
      </c>
      <c r="AF488" s="61">
        <f>SUM(AD483:AD488)</f>
        <v>8.2100000000000006E-2</v>
      </c>
      <c r="AG488" s="61">
        <f>SUM(AE483:AE488)</f>
        <v>0.29530000000000001</v>
      </c>
      <c r="AH488" s="61"/>
      <c r="AI488" s="61"/>
    </row>
    <row r="489" spans="1:35" s="417" customFormat="1" ht="15" customHeight="1" x14ac:dyDescent="0.2">
      <c r="A489" s="1449" t="s">
        <v>534</v>
      </c>
      <c r="B489" s="1450"/>
      <c r="C489" s="1451"/>
      <c r="D489" s="1451"/>
      <c r="E489" s="1451"/>
      <c r="F489" s="1451"/>
      <c r="G489" s="1451"/>
      <c r="H489" s="1451"/>
      <c r="I489" s="1451"/>
      <c r="J489" s="1451"/>
      <c r="K489" s="1451"/>
      <c r="L489" s="1451"/>
      <c r="M489" s="1451"/>
      <c r="N489" s="1451"/>
      <c r="O489" s="1451"/>
      <c r="P489" s="1451"/>
      <c r="Q489" s="1451"/>
      <c r="R489" s="1451"/>
      <c r="S489" s="1451"/>
      <c r="T489" s="1451"/>
      <c r="U489" s="1451"/>
      <c r="V489" s="1451"/>
      <c r="W489" s="1451"/>
      <c r="X489" s="1451"/>
      <c r="Y489" s="1451"/>
      <c r="Z489" s="1451"/>
      <c r="AA489" s="1451"/>
      <c r="AB489" s="1451"/>
      <c r="AC489" s="1451"/>
      <c r="AD489" s="1451"/>
      <c r="AE489" s="1452"/>
      <c r="AF489" s="61"/>
      <c r="AG489" s="61"/>
      <c r="AH489" s="61"/>
      <c r="AI489" s="61"/>
    </row>
    <row r="490" spans="1:35" s="417" customFormat="1" ht="15" customHeight="1" x14ac:dyDescent="0.2">
      <c r="A490" s="551" t="s">
        <v>524</v>
      </c>
      <c r="B490" s="398" t="s">
        <v>343</v>
      </c>
      <c r="C490" s="212">
        <v>4</v>
      </c>
      <c r="D490" s="170">
        <v>1</v>
      </c>
      <c r="E490" s="170">
        <v>1</v>
      </c>
      <c r="F490" s="170">
        <v>6</v>
      </c>
      <c r="G490" s="170">
        <v>60</v>
      </c>
      <c r="H490" s="170">
        <f>(8-1-0.75*2)*60*E490-J490-8*0.12*60</f>
        <v>57.900000000000006</v>
      </c>
      <c r="I490" s="170">
        <v>14</v>
      </c>
      <c r="J490" s="170">
        <f>(8-1-0.75*2)*0.65*60*E490</f>
        <v>214.5</v>
      </c>
      <c r="K490" s="170">
        <v>2.4700000000000002</v>
      </c>
      <c r="L490" s="170">
        <v>2.4700000000000002</v>
      </c>
      <c r="M490" s="170">
        <v>10</v>
      </c>
      <c r="N490" s="170">
        <f>D490/E490</f>
        <v>1</v>
      </c>
      <c r="O490" s="170">
        <v>173</v>
      </c>
      <c r="P490" s="170">
        <v>0</v>
      </c>
      <c r="Q490" s="211">
        <v>0</v>
      </c>
      <c r="R490" s="170">
        <v>0.48</v>
      </c>
      <c r="S490" s="207">
        <f>ROUND((K490*H490+1.3*K490*J490+R490*G490),4)</f>
        <v>860.57249999999999</v>
      </c>
      <c r="T490" s="207">
        <f>ROUND((L490*H490+1.3*L490*J490+R490*G490),4)</f>
        <v>860.57249999999999</v>
      </c>
      <c r="U490" s="207">
        <f>ROUND((L490*H490+1.3*L490*J490+R490*G490),4)</f>
        <v>860.57249999999999</v>
      </c>
      <c r="V490" s="207">
        <f>ROUND((K490*I490+1.3*K490*M490+R490*F490),4)</f>
        <v>69.569999999999993</v>
      </c>
      <c r="W490" s="207">
        <f>ROUND((L490*I490+1.3*L490*M490+R490*F490),4)</f>
        <v>69.569999999999993</v>
      </c>
      <c r="X490" s="207">
        <f>ROUND((L490*I490+1.3*L490*M490+R490*F490),4)</f>
        <v>69.569999999999993</v>
      </c>
      <c r="Y490" s="385">
        <f>ROUND((O490*S490*E490*N490/1000000),4)</f>
        <v>0.1489</v>
      </c>
      <c r="Z490" s="385">
        <f>ROUND((P490*T490*E490*N490/1000000),4)</f>
        <v>0</v>
      </c>
      <c r="AA490" s="385">
        <f>ROUND((Q490*U490*E490*N490/1000000),4)</f>
        <v>0</v>
      </c>
      <c r="AB490" s="931" t="s">
        <v>48</v>
      </c>
      <c r="AC490" s="932" t="s">
        <v>49</v>
      </c>
      <c r="AD490" s="933">
        <f>ROUND((((W490*D490)/1800)*0.8),4)</f>
        <v>3.09E-2</v>
      </c>
      <c r="AE490" s="933">
        <f>ROUND(((Y490+Z490+AA490)*0.8),4)</f>
        <v>0.1191</v>
      </c>
      <c r="AF490" s="61"/>
      <c r="AG490" s="61"/>
      <c r="AH490" s="61"/>
      <c r="AI490" s="61"/>
    </row>
    <row r="491" spans="1:35" s="417" customFormat="1" ht="15" customHeight="1" x14ac:dyDescent="0.2">
      <c r="A491" s="552" t="s">
        <v>492</v>
      </c>
      <c r="B491" s="399" t="s">
        <v>359</v>
      </c>
      <c r="C491" s="387"/>
      <c r="D491" s="209"/>
      <c r="E491" s="209"/>
      <c r="F491" s="209"/>
      <c r="G491" s="209"/>
      <c r="H491" s="209"/>
      <c r="I491" s="209"/>
      <c r="J491" s="209"/>
      <c r="K491" s="209"/>
      <c r="L491" s="209"/>
      <c r="M491" s="209"/>
      <c r="N491" s="209"/>
      <c r="O491" s="209"/>
      <c r="P491" s="209"/>
      <c r="Q491" s="209"/>
      <c r="R491" s="388"/>
      <c r="S491" s="215"/>
      <c r="T491" s="215"/>
      <c r="U491" s="215"/>
      <c r="V491" s="215"/>
      <c r="W491" s="215"/>
      <c r="X491" s="215"/>
      <c r="Y491" s="215"/>
      <c r="Z491" s="215"/>
      <c r="AA491" s="215"/>
      <c r="AB491" s="931" t="s">
        <v>51</v>
      </c>
      <c r="AC491" s="932" t="s">
        <v>52</v>
      </c>
      <c r="AD491" s="933">
        <f>ROUND((((W490*D490)/1800)*0.13),4)</f>
        <v>5.0000000000000001E-3</v>
      </c>
      <c r="AE491" s="933">
        <f>ROUND(((Y490+Z490+AA490)*0.13),4)</f>
        <v>1.9400000000000001E-2</v>
      </c>
      <c r="AF491" s="61"/>
      <c r="AG491" s="61"/>
      <c r="AH491" s="61"/>
      <c r="AI491" s="61"/>
    </row>
    <row r="492" spans="1:35" s="417" customFormat="1" ht="15" customHeight="1" x14ac:dyDescent="0.2">
      <c r="A492" s="558"/>
      <c r="B492" s="387" t="s">
        <v>360</v>
      </c>
      <c r="C492" s="389"/>
      <c r="D492" s="209"/>
      <c r="E492" s="209"/>
      <c r="F492" s="209"/>
      <c r="G492" s="209"/>
      <c r="H492" s="209"/>
      <c r="I492" s="209"/>
      <c r="J492" s="209"/>
      <c r="K492" s="209">
        <v>0.19</v>
      </c>
      <c r="L492" s="209">
        <v>0.23</v>
      </c>
      <c r="M492" s="209"/>
      <c r="N492" s="209"/>
      <c r="O492" s="209"/>
      <c r="P492" s="209"/>
      <c r="Q492" s="209"/>
      <c r="R492" s="133">
        <v>9.7000000000000003E-2</v>
      </c>
      <c r="S492" s="207">
        <f>ROUND((K492*H490+1.3*K492*J490+R492*G490),4)</f>
        <v>69.802499999999995</v>
      </c>
      <c r="T492" s="207">
        <f>ROUND((L492*0.9*H490+1.3*L492*0.9*J490+R492*G490),4)</f>
        <v>75.527299999999997</v>
      </c>
      <c r="U492" s="207">
        <f>ROUND((L492*H490+1.3*L492*J490+R492*G490),4)</f>
        <v>83.272499999999994</v>
      </c>
      <c r="V492" s="207">
        <f>ROUND((K492*I490+1.3*K492*M490+R492*F490),4)</f>
        <v>5.7119999999999997</v>
      </c>
      <c r="W492" s="207">
        <f>ROUND((L492*0.9*I490+1.3*L492*0.9*M490+R492*F490),4)</f>
        <v>6.1710000000000003</v>
      </c>
      <c r="X492" s="207">
        <f>ROUND((L492*I490+1.3*L492*M490+R492*F490),4)</f>
        <v>6.7919999999999998</v>
      </c>
      <c r="Y492" s="385">
        <f>ROUND((O490*S492*E490*N490/1000000),4)</f>
        <v>1.21E-2</v>
      </c>
      <c r="Z492" s="385">
        <f>ROUND((P490*T492*E490*N490/1000000),4)</f>
        <v>0</v>
      </c>
      <c r="AA492" s="385">
        <f>ROUND((Q490*U492*E490*N490/1000000),4)</f>
        <v>0</v>
      </c>
      <c r="AB492" s="931" t="s">
        <v>56</v>
      </c>
      <c r="AC492" s="932" t="s">
        <v>57</v>
      </c>
      <c r="AD492" s="933">
        <f>ROUND((((W492*D490)/1800)),4)</f>
        <v>3.3999999999999998E-3</v>
      </c>
      <c r="AE492" s="933">
        <f>ROUND(((Y492+Z492+AA492)),5)</f>
        <v>1.21E-2</v>
      </c>
      <c r="AF492" s="61"/>
      <c r="AG492" s="61"/>
      <c r="AH492" s="61"/>
      <c r="AI492" s="61"/>
    </row>
    <row r="493" spans="1:35" s="417" customFormat="1" ht="15" customHeight="1" x14ac:dyDescent="0.2">
      <c r="A493" s="558"/>
      <c r="B493" s="387"/>
      <c r="C493" s="387"/>
      <c r="D493" s="209"/>
      <c r="E493" s="209"/>
      <c r="F493" s="209"/>
      <c r="G493" s="209"/>
      <c r="H493" s="209"/>
      <c r="I493" s="209"/>
      <c r="J493" s="209"/>
      <c r="K493" s="209">
        <v>0.43</v>
      </c>
      <c r="L493" s="209">
        <v>0.51</v>
      </c>
      <c r="M493" s="209"/>
      <c r="N493" s="209"/>
      <c r="O493" s="209"/>
      <c r="P493" s="209"/>
      <c r="Q493" s="209"/>
      <c r="R493" s="133">
        <v>0.3</v>
      </c>
      <c r="S493" s="207">
        <f>ROUND((K493*H490+1.3*K493*J490+R493*G490),4)</f>
        <v>162.80250000000001</v>
      </c>
      <c r="T493" s="207">
        <f>ROUND((L493*0.9*H490+1.3*L493*0.9*J490+R493*G490),4)</f>
        <v>172.56829999999999</v>
      </c>
      <c r="U493" s="207">
        <f>ROUND((L493*H490+1.3*L493*J490+R493*G490),4)</f>
        <v>189.74250000000001</v>
      </c>
      <c r="V493" s="207">
        <f>ROUND((K493*I490+1.3*K493*M490+R493*F490),4)</f>
        <v>13.41</v>
      </c>
      <c r="W493" s="207">
        <f>ROUND((L493*0.9*I490+1.3*L493*0.9*M490+R493*F490),4)</f>
        <v>14.193</v>
      </c>
      <c r="X493" s="207">
        <f>ROUND((L493*I490+1.3*M490+R493*F490),4)</f>
        <v>21.94</v>
      </c>
      <c r="Y493" s="385">
        <f>ROUND((O490*S493*E490*N490/1000000),4)</f>
        <v>2.8199999999999999E-2</v>
      </c>
      <c r="Z493" s="385">
        <f>ROUND((P490*T493*E490*N490/1000000),4)</f>
        <v>0</v>
      </c>
      <c r="AA493" s="385">
        <f>ROUND((Q490*U493*E490*N490/1000000),4)</f>
        <v>0</v>
      </c>
      <c r="AB493" s="931" t="s">
        <v>177</v>
      </c>
      <c r="AC493" s="932" t="s">
        <v>178</v>
      </c>
      <c r="AD493" s="933">
        <f>ROUND((((W493*D490)/1800)),4)</f>
        <v>7.9000000000000008E-3</v>
      </c>
      <c r="AE493" s="933">
        <f>ROUND(((Y493+Z493+AA493)),4)</f>
        <v>2.8199999999999999E-2</v>
      </c>
      <c r="AF493" s="61"/>
      <c r="AG493" s="61"/>
      <c r="AH493" s="61"/>
      <c r="AI493" s="61"/>
    </row>
    <row r="494" spans="1:35" s="417" customFormat="1" ht="15" customHeight="1" x14ac:dyDescent="0.2">
      <c r="A494" s="558"/>
      <c r="B494" s="387"/>
      <c r="C494" s="387"/>
      <c r="D494" s="209"/>
      <c r="E494" s="209"/>
      <c r="F494" s="209"/>
      <c r="G494" s="209"/>
      <c r="H494" s="209"/>
      <c r="I494" s="209"/>
      <c r="J494" s="209"/>
      <c r="K494" s="209">
        <v>0.27</v>
      </c>
      <c r="L494" s="209">
        <v>0.41</v>
      </c>
      <c r="M494" s="209"/>
      <c r="N494" s="209"/>
      <c r="O494" s="209"/>
      <c r="P494" s="209"/>
      <c r="Q494" s="209"/>
      <c r="R494" s="133">
        <v>0.06</v>
      </c>
      <c r="S494" s="207">
        <f>ROUND((K494*H490+1.3*K494*J490+R494*G490),4)</f>
        <v>94.522499999999994</v>
      </c>
      <c r="T494" s="207">
        <f>ROUND((L494*0.9*H490+1.3*L494*0.9*J490+R494*G490),4)</f>
        <v>127.8608</v>
      </c>
      <c r="U494" s="207">
        <f>ROUND((L494*H490+1.3*L494*J490+R494*G490),4)</f>
        <v>141.66749999999999</v>
      </c>
      <c r="V494" s="207">
        <f>ROUND((K494*I490+1.3*K494*M490+R494*F490),4)</f>
        <v>7.65</v>
      </c>
      <c r="W494" s="207">
        <f>ROUND((L494*0.9*I490+1.3*L494*0.9*M490+R494*F490),4)</f>
        <v>10.323</v>
      </c>
      <c r="X494" s="207">
        <f>ROUND((L494*I490+1.3*L494*M490+R494*F490),4)</f>
        <v>11.43</v>
      </c>
      <c r="Y494" s="385">
        <f>ROUND((O490*S494*E490*N490/1000000),4)</f>
        <v>1.6400000000000001E-2</v>
      </c>
      <c r="Z494" s="385">
        <f>ROUND((P490*T494*E490*N490/1000000),4)</f>
        <v>0</v>
      </c>
      <c r="AA494" s="385">
        <f>ROUND((Q490*U494*E490*N490/1000000),4)</f>
        <v>0</v>
      </c>
      <c r="AB494" s="931" t="s">
        <v>61</v>
      </c>
      <c r="AC494" s="932" t="s">
        <v>62</v>
      </c>
      <c r="AD494" s="933">
        <f>ROUND((((W494*D490)/1800)),4)</f>
        <v>5.7000000000000002E-3</v>
      </c>
      <c r="AE494" s="933">
        <f>ROUND(((Y494+Z494+AA494)),4)</f>
        <v>1.6400000000000001E-2</v>
      </c>
      <c r="AF494" s="61"/>
      <c r="AG494" s="61"/>
      <c r="AH494" s="61"/>
      <c r="AI494" s="61"/>
    </row>
    <row r="495" spans="1:35" s="417" customFormat="1" ht="15" customHeight="1" x14ac:dyDescent="0.2">
      <c r="A495" s="563"/>
      <c r="B495" s="214"/>
      <c r="C495" s="214"/>
      <c r="D495" s="210"/>
      <c r="E495" s="210"/>
      <c r="F495" s="210"/>
      <c r="G495" s="210"/>
      <c r="H495" s="210"/>
      <c r="I495" s="210"/>
      <c r="J495" s="210"/>
      <c r="K495" s="210">
        <v>1.29</v>
      </c>
      <c r="L495" s="210">
        <v>1.57</v>
      </c>
      <c r="M495" s="210"/>
      <c r="N495" s="210"/>
      <c r="O495" s="210"/>
      <c r="P495" s="210"/>
      <c r="Q495" s="210"/>
      <c r="R495" s="133">
        <v>2.4</v>
      </c>
      <c r="S495" s="134">
        <f>ROUND((K495*H490+1.3*K495*J490+R495*G490),4)</f>
        <v>578.40750000000003</v>
      </c>
      <c r="T495" s="134">
        <f>ROUND((L495*0.9*H490+1.3*L495*0.9*J490+R495*G490),4)</f>
        <v>619.82780000000002</v>
      </c>
      <c r="U495" s="134">
        <f>ROUND((L495*H490+1.3*L495*J490+R495*G490),4)</f>
        <v>672.69749999999999</v>
      </c>
      <c r="V495" s="134">
        <f>ROUND((K495*I490+1.3*K495*M490+R495*F490),4)</f>
        <v>49.23</v>
      </c>
      <c r="W495" s="134">
        <f>ROUND((L495*0.9*I490+1.3*L495*0.9*M490+R495*F490),4)</f>
        <v>52.551000000000002</v>
      </c>
      <c r="X495" s="134">
        <f>ROUND((L495*I490+1.3*L495*M490+R495*F490),4)</f>
        <v>56.79</v>
      </c>
      <c r="Y495" s="394">
        <f>ROUND((O490*S495*E490*N490/1000000),4)</f>
        <v>0.10009999999999999</v>
      </c>
      <c r="Z495" s="394">
        <f>ROUND((P490*T495*E490*N490/1000000),4)</f>
        <v>0</v>
      </c>
      <c r="AA495" s="394">
        <f>ROUND((Q490*U495*E490*N490/1000000),4)</f>
        <v>0</v>
      </c>
      <c r="AB495" s="931" t="s">
        <v>65</v>
      </c>
      <c r="AC495" s="932" t="s">
        <v>66</v>
      </c>
      <c r="AD495" s="933">
        <f>ROUND((((W495*D490)/1800)),4)</f>
        <v>2.92E-2</v>
      </c>
      <c r="AE495" s="933">
        <f>ROUND(((Y495+Z495+AA495)),4)</f>
        <v>0.10009999999999999</v>
      </c>
      <c r="AF495" s="61">
        <f>SUM(AD490:AD495)</f>
        <v>8.2100000000000006E-2</v>
      </c>
      <c r="AG495" s="61">
        <f>SUM(AE490:AE495)</f>
        <v>0.29530000000000001</v>
      </c>
      <c r="AH495" s="61"/>
      <c r="AI495" s="61"/>
    </row>
    <row r="496" spans="1:35" s="417" customFormat="1" ht="15" customHeight="1" x14ac:dyDescent="0.2">
      <c r="A496" s="1449" t="s">
        <v>729</v>
      </c>
      <c r="B496" s="1450"/>
      <c r="C496" s="1451"/>
      <c r="D496" s="1451"/>
      <c r="E496" s="1451"/>
      <c r="F496" s="1451"/>
      <c r="G496" s="1451"/>
      <c r="H496" s="1451"/>
      <c r="I496" s="1451"/>
      <c r="J496" s="1451"/>
      <c r="K496" s="1451"/>
      <c r="L496" s="1451"/>
      <c r="M496" s="1451"/>
      <c r="N496" s="1451"/>
      <c r="O496" s="1451"/>
      <c r="P496" s="1451"/>
      <c r="Q496" s="1451"/>
      <c r="R496" s="1451"/>
      <c r="S496" s="1451"/>
      <c r="T496" s="1451"/>
      <c r="U496" s="1451"/>
      <c r="V496" s="1451"/>
      <c r="W496" s="1451"/>
      <c r="X496" s="1451"/>
      <c r="Y496" s="1451"/>
      <c r="Z496" s="1451"/>
      <c r="AA496" s="1451"/>
      <c r="AB496" s="1451"/>
      <c r="AC496" s="1451"/>
      <c r="AD496" s="1451"/>
      <c r="AE496" s="1452"/>
      <c r="AF496" s="61"/>
      <c r="AG496" s="61"/>
      <c r="AH496" s="61"/>
      <c r="AI496" s="61"/>
    </row>
    <row r="497" spans="1:35" s="417" customFormat="1" ht="15" customHeight="1" x14ac:dyDescent="0.2">
      <c r="A497" s="551" t="s">
        <v>529</v>
      </c>
      <c r="B497" s="398" t="s">
        <v>343</v>
      </c>
      <c r="C497" s="212">
        <v>4</v>
      </c>
      <c r="D497" s="170">
        <v>1</v>
      </c>
      <c r="E497" s="170">
        <v>1</v>
      </c>
      <c r="F497" s="170">
        <v>6</v>
      </c>
      <c r="G497" s="170">
        <v>60</v>
      </c>
      <c r="H497" s="170">
        <f>(8-1-0.75*2)*60*E497-J497-8*0.12*60</f>
        <v>57.900000000000006</v>
      </c>
      <c r="I497" s="170">
        <v>14</v>
      </c>
      <c r="J497" s="170">
        <f>(8-1-0.75*2)*0.65*60*E497</f>
        <v>214.5</v>
      </c>
      <c r="K497" s="170">
        <v>2.4700000000000002</v>
      </c>
      <c r="L497" s="170">
        <v>2.4700000000000002</v>
      </c>
      <c r="M497" s="170">
        <v>10</v>
      </c>
      <c r="N497" s="170">
        <f>D497/E497</f>
        <v>1</v>
      </c>
      <c r="O497" s="170">
        <v>180</v>
      </c>
      <c r="P497" s="170">
        <v>90</v>
      </c>
      <c r="Q497" s="211">
        <v>95</v>
      </c>
      <c r="R497" s="170">
        <v>0.48</v>
      </c>
      <c r="S497" s="207">
        <f>ROUND((K497*H497+1.3*K497*J497+R497*G497),4)</f>
        <v>860.57249999999999</v>
      </c>
      <c r="T497" s="207">
        <f>ROUND((L497*H497+1.3*L497*J497+R497*G497),4)</f>
        <v>860.57249999999999</v>
      </c>
      <c r="U497" s="207">
        <f>ROUND((L497*H497+1.3*L497*J497+R497*G497),4)</f>
        <v>860.57249999999999</v>
      </c>
      <c r="V497" s="207">
        <f>ROUND((K497*I497+1.3*K497*M497+R497*F497),4)</f>
        <v>69.569999999999993</v>
      </c>
      <c r="W497" s="207">
        <f>ROUND((L497*I497+1.3*L497*M497+R497*F497),4)</f>
        <v>69.569999999999993</v>
      </c>
      <c r="X497" s="207">
        <f>ROUND((L497*I497+1.3*L497*M497+R497*F497),4)</f>
        <v>69.569999999999993</v>
      </c>
      <c r="Y497" s="385">
        <f>ROUND((O497*S497*E497*N497/1000000),4)</f>
        <v>0.15490000000000001</v>
      </c>
      <c r="Z497" s="385">
        <f>ROUND((P497*T497*E497*N497/1000000),4)</f>
        <v>7.7499999999999999E-2</v>
      </c>
      <c r="AA497" s="385">
        <f>ROUND((Q497*U497*E497*N497/1000000),4)</f>
        <v>8.1799999999999998E-2</v>
      </c>
      <c r="AB497" s="931" t="s">
        <v>48</v>
      </c>
      <c r="AC497" s="932" t="s">
        <v>49</v>
      </c>
      <c r="AD497" s="933">
        <f>ROUND((((W497*D497)/1800)*0.8),4)</f>
        <v>3.09E-2</v>
      </c>
      <c r="AE497" s="933">
        <f>ROUND(((Y497+Z497+AA497)*0.8),4)</f>
        <v>0.25140000000000001</v>
      </c>
      <c r="AF497" s="61"/>
      <c r="AG497" s="61"/>
      <c r="AH497" s="61"/>
      <c r="AI497" s="61"/>
    </row>
    <row r="498" spans="1:35" s="417" customFormat="1" ht="15" customHeight="1" x14ac:dyDescent="0.2">
      <c r="A498" s="552" t="s">
        <v>166</v>
      </c>
      <c r="B498" s="399" t="s">
        <v>359</v>
      </c>
      <c r="C498" s="387"/>
      <c r="D498" s="209"/>
      <c r="E498" s="209"/>
      <c r="F498" s="209"/>
      <c r="G498" s="209"/>
      <c r="H498" s="209"/>
      <c r="I498" s="209"/>
      <c r="J498" s="209"/>
      <c r="K498" s="209"/>
      <c r="L498" s="209"/>
      <c r="M498" s="209"/>
      <c r="N498" s="209"/>
      <c r="O498" s="209"/>
      <c r="P498" s="209"/>
      <c r="Q498" s="209"/>
      <c r="R498" s="388"/>
      <c r="S498" s="215"/>
      <c r="T498" s="215"/>
      <c r="U498" s="215"/>
      <c r="V498" s="215"/>
      <c r="W498" s="215"/>
      <c r="X498" s="215"/>
      <c r="Y498" s="215"/>
      <c r="Z498" s="215"/>
      <c r="AA498" s="215"/>
      <c r="AB498" s="931" t="s">
        <v>51</v>
      </c>
      <c r="AC498" s="932" t="s">
        <v>52</v>
      </c>
      <c r="AD498" s="933">
        <f>ROUND((((W497*D497)/1800)*0.13),4)</f>
        <v>5.0000000000000001E-3</v>
      </c>
      <c r="AE498" s="933">
        <f>ROUND(((Y497+Z497+AA497)*0.13),4)</f>
        <v>4.0800000000000003E-2</v>
      </c>
      <c r="AF498" s="61"/>
      <c r="AG498" s="61"/>
      <c r="AH498" s="61"/>
      <c r="AI498" s="61"/>
    </row>
    <row r="499" spans="1:35" s="417" customFormat="1" ht="15" customHeight="1" x14ac:dyDescent="0.2">
      <c r="A499" s="558"/>
      <c r="B499" s="387" t="s">
        <v>360</v>
      </c>
      <c r="C499" s="389"/>
      <c r="D499" s="209"/>
      <c r="E499" s="209"/>
      <c r="F499" s="209"/>
      <c r="G499" s="209"/>
      <c r="H499" s="209"/>
      <c r="I499" s="209"/>
      <c r="J499" s="209"/>
      <c r="K499" s="209">
        <v>0.19</v>
      </c>
      <c r="L499" s="209">
        <v>0.23</v>
      </c>
      <c r="M499" s="209"/>
      <c r="N499" s="209"/>
      <c r="O499" s="209"/>
      <c r="P499" s="209"/>
      <c r="Q499" s="209"/>
      <c r="R499" s="133">
        <v>9.7000000000000003E-2</v>
      </c>
      <c r="S499" s="207">
        <f>ROUND((K499*H497+1.3*K499*J497+R499*G497),4)</f>
        <v>69.802499999999995</v>
      </c>
      <c r="T499" s="207">
        <f>ROUND((L499*0.9*H497+1.3*L499*0.9*J497+R499*G497),4)</f>
        <v>75.527299999999997</v>
      </c>
      <c r="U499" s="207">
        <f>ROUND((L499*H497+1.3*L499*J497+R499*G497),4)</f>
        <v>83.272499999999994</v>
      </c>
      <c r="V499" s="207">
        <f>ROUND((K499*I497+1.3*K499*M497+R499*F497),4)</f>
        <v>5.7119999999999997</v>
      </c>
      <c r="W499" s="207">
        <f>ROUND((L499*0.9*I497+1.3*L499*0.9*M497+R499*F497),4)</f>
        <v>6.1710000000000003</v>
      </c>
      <c r="X499" s="207">
        <f>ROUND((L499*I497+1.3*L499*M497+R499*F497),4)</f>
        <v>6.7919999999999998</v>
      </c>
      <c r="Y499" s="385">
        <f>ROUND((O497*S499*E497*N497/1000000),4)</f>
        <v>1.26E-2</v>
      </c>
      <c r="Z499" s="385">
        <f>ROUND((P497*T499*E497*N497/1000000),4)</f>
        <v>6.7999999999999996E-3</v>
      </c>
      <c r="AA499" s="385">
        <f>ROUND((Q497*U499*E497*N497/1000000),4)</f>
        <v>7.9000000000000008E-3</v>
      </c>
      <c r="AB499" s="931" t="s">
        <v>56</v>
      </c>
      <c r="AC499" s="932" t="s">
        <v>57</v>
      </c>
      <c r="AD499" s="933">
        <f>ROUND((((W499*D497)/1800)),4)</f>
        <v>3.3999999999999998E-3</v>
      </c>
      <c r="AE499" s="933">
        <f>ROUND(((Y499+Z499+AA499)),5)</f>
        <v>2.7300000000000001E-2</v>
      </c>
      <c r="AF499" s="61"/>
      <c r="AG499" s="61"/>
      <c r="AH499" s="61"/>
      <c r="AI499" s="61"/>
    </row>
    <row r="500" spans="1:35" s="417" customFormat="1" ht="15" customHeight="1" x14ac:dyDescent="0.2">
      <c r="A500" s="558"/>
      <c r="B500" s="387"/>
      <c r="C500" s="387"/>
      <c r="D500" s="209"/>
      <c r="E500" s="209"/>
      <c r="F500" s="209"/>
      <c r="G500" s="209"/>
      <c r="H500" s="209"/>
      <c r="I500" s="209"/>
      <c r="J500" s="209"/>
      <c r="K500" s="209">
        <v>0.43</v>
      </c>
      <c r="L500" s="209">
        <v>0.51</v>
      </c>
      <c r="M500" s="209"/>
      <c r="N500" s="209"/>
      <c r="O500" s="209"/>
      <c r="P500" s="209"/>
      <c r="Q500" s="209"/>
      <c r="R500" s="133">
        <v>0.3</v>
      </c>
      <c r="S500" s="207">
        <f>ROUND((K500*H497+1.3*K500*J497+R500*G497),4)</f>
        <v>162.80250000000001</v>
      </c>
      <c r="T500" s="207">
        <f>ROUND((L500*0.9*H497+1.3*L500*0.9*J497+R500*G497),4)</f>
        <v>172.56829999999999</v>
      </c>
      <c r="U500" s="207">
        <f>ROUND((L500*H497+1.3*L500*J497+R500*G497),4)</f>
        <v>189.74250000000001</v>
      </c>
      <c r="V500" s="207">
        <f>ROUND((K500*I497+1.3*K500*M497+R500*F497),4)</f>
        <v>13.41</v>
      </c>
      <c r="W500" s="207">
        <f>ROUND((L500*0.9*I497+1.3*L500*0.9*M497+R500*F497),4)</f>
        <v>14.193</v>
      </c>
      <c r="X500" s="207">
        <f>ROUND((L500*I497+1.3*M497+R500*F497),4)</f>
        <v>21.94</v>
      </c>
      <c r="Y500" s="385">
        <f>ROUND((O497*S500*E497*N497/1000000),4)</f>
        <v>2.93E-2</v>
      </c>
      <c r="Z500" s="385">
        <f>ROUND((P497*T500*E497*N497/1000000),4)</f>
        <v>1.55E-2</v>
      </c>
      <c r="AA500" s="385">
        <f>ROUND((Q497*U500*E497*N497/1000000),4)</f>
        <v>1.7999999999999999E-2</v>
      </c>
      <c r="AB500" s="931" t="s">
        <v>177</v>
      </c>
      <c r="AC500" s="932" t="s">
        <v>178</v>
      </c>
      <c r="AD500" s="933">
        <f>ROUND((((W500*D497)/1800)),4)</f>
        <v>7.9000000000000008E-3</v>
      </c>
      <c r="AE500" s="933">
        <f>ROUND(((Y500+Z500+AA500)),4)</f>
        <v>6.2799999999999995E-2</v>
      </c>
      <c r="AF500" s="61"/>
      <c r="AG500" s="61"/>
      <c r="AH500" s="61"/>
      <c r="AI500" s="61"/>
    </row>
    <row r="501" spans="1:35" s="417" customFormat="1" ht="15" customHeight="1" x14ac:dyDescent="0.2">
      <c r="A501" s="558"/>
      <c r="B501" s="387"/>
      <c r="C501" s="387"/>
      <c r="D501" s="209"/>
      <c r="E501" s="209"/>
      <c r="F501" s="209"/>
      <c r="G501" s="209"/>
      <c r="H501" s="209"/>
      <c r="I501" s="209"/>
      <c r="J501" s="209"/>
      <c r="K501" s="209">
        <v>0.27</v>
      </c>
      <c r="L501" s="209">
        <v>0.41</v>
      </c>
      <c r="M501" s="209"/>
      <c r="N501" s="209"/>
      <c r="O501" s="209"/>
      <c r="P501" s="209"/>
      <c r="Q501" s="209"/>
      <c r="R501" s="133">
        <v>0.06</v>
      </c>
      <c r="S501" s="207">
        <f>ROUND((K501*H497+1.3*K501*J497+R501*G497),4)</f>
        <v>94.522499999999994</v>
      </c>
      <c r="T501" s="207">
        <f>ROUND((L501*0.9*H497+1.3*L501*0.9*J497+R501*G497),4)</f>
        <v>127.8608</v>
      </c>
      <c r="U501" s="207">
        <f>ROUND((L501*H497+1.3*L501*J497+R501*G497),4)</f>
        <v>141.66749999999999</v>
      </c>
      <c r="V501" s="207">
        <f>ROUND((K501*I497+1.3*K501*M497+R501*F497),4)</f>
        <v>7.65</v>
      </c>
      <c r="W501" s="207">
        <f>ROUND((L501*0.9*I497+1.3*L501*0.9*M497+R501*F497),4)</f>
        <v>10.323</v>
      </c>
      <c r="X501" s="207">
        <f>ROUND((L501*I497+1.3*L501*M497+R501*F497),4)</f>
        <v>11.43</v>
      </c>
      <c r="Y501" s="385">
        <f>ROUND((O497*S501*E497*N497/1000000),4)</f>
        <v>1.7000000000000001E-2</v>
      </c>
      <c r="Z501" s="385">
        <f>ROUND((P497*T501*E497*N497/1000000),4)</f>
        <v>1.15E-2</v>
      </c>
      <c r="AA501" s="385">
        <f>ROUND((Q497*U501*E497*N497/1000000),4)</f>
        <v>1.35E-2</v>
      </c>
      <c r="AB501" s="931" t="s">
        <v>61</v>
      </c>
      <c r="AC501" s="932" t="s">
        <v>62</v>
      </c>
      <c r="AD501" s="933">
        <f>ROUND((((W501*D497)/1800)),4)</f>
        <v>5.7000000000000002E-3</v>
      </c>
      <c r="AE501" s="933">
        <f>ROUND(((Y501+Z501+AA501)),4)</f>
        <v>4.2000000000000003E-2</v>
      </c>
      <c r="AF501" s="61"/>
      <c r="AG501" s="61"/>
      <c r="AH501" s="61"/>
      <c r="AI501" s="61"/>
    </row>
    <row r="502" spans="1:35" s="417" customFormat="1" ht="15" customHeight="1" x14ac:dyDescent="0.2">
      <c r="A502" s="563"/>
      <c r="B502" s="214"/>
      <c r="C502" s="214"/>
      <c r="D502" s="210"/>
      <c r="E502" s="210"/>
      <c r="F502" s="210"/>
      <c r="G502" s="210"/>
      <c r="H502" s="210"/>
      <c r="I502" s="210"/>
      <c r="J502" s="210"/>
      <c r="K502" s="210">
        <v>1.29</v>
      </c>
      <c r="L502" s="210">
        <v>1.57</v>
      </c>
      <c r="M502" s="210"/>
      <c r="N502" s="210"/>
      <c r="O502" s="210"/>
      <c r="P502" s="210"/>
      <c r="Q502" s="210"/>
      <c r="R502" s="133">
        <v>2.4</v>
      </c>
      <c r="S502" s="134">
        <f>ROUND((K502*H497+1.3*K502*J497+R502*G497),4)</f>
        <v>578.40750000000003</v>
      </c>
      <c r="T502" s="134">
        <f>ROUND((L502*0.9*H497+1.3*L502*0.9*J497+R502*G497),4)</f>
        <v>619.82780000000002</v>
      </c>
      <c r="U502" s="134">
        <f>ROUND((L502*H497+1.3*L502*J497+R502*G497),4)</f>
        <v>672.69749999999999</v>
      </c>
      <c r="V502" s="134">
        <f>ROUND((K502*I497+1.3*K502*M497+R502*F497),4)</f>
        <v>49.23</v>
      </c>
      <c r="W502" s="134">
        <f>ROUND((L502*0.9*I497+1.3*L502*0.9*M497+R502*F497),4)</f>
        <v>52.551000000000002</v>
      </c>
      <c r="X502" s="134">
        <f>ROUND((L502*I497+1.3*L502*M497+R502*F497),4)</f>
        <v>56.79</v>
      </c>
      <c r="Y502" s="394">
        <f>ROUND((O497*S502*E497*N497/1000000),4)</f>
        <v>0.1041</v>
      </c>
      <c r="Z502" s="394">
        <f>ROUND((P497*T502*E497*N497/1000000),4)</f>
        <v>5.5800000000000002E-2</v>
      </c>
      <c r="AA502" s="394">
        <f>ROUND((Q497*U502*E497*N497/1000000),4)</f>
        <v>6.3899999999999998E-2</v>
      </c>
      <c r="AB502" s="931" t="s">
        <v>65</v>
      </c>
      <c r="AC502" s="932" t="s">
        <v>66</v>
      </c>
      <c r="AD502" s="933">
        <f>ROUND((((W502*D497)/1800)),4)</f>
        <v>2.92E-2</v>
      </c>
      <c r="AE502" s="933">
        <f>ROUND(((Y502+Z502+AA502)),4)</f>
        <v>0.2238</v>
      </c>
      <c r="AF502" s="61">
        <f>SUM(AD497:AD502)</f>
        <v>8.2100000000000006E-2</v>
      </c>
      <c r="AG502" s="61">
        <f>SUM(AE497:AE502)</f>
        <v>0.6480999999999999</v>
      </c>
      <c r="AH502" s="61"/>
      <c r="AI502" s="61"/>
    </row>
    <row r="503" spans="1:35" s="417" customFormat="1" ht="15" customHeight="1" x14ac:dyDescent="0.2">
      <c r="A503" s="1449" t="s">
        <v>561</v>
      </c>
      <c r="B503" s="1450"/>
      <c r="C503" s="1451"/>
      <c r="D503" s="1451"/>
      <c r="E503" s="1451"/>
      <c r="F503" s="1451"/>
      <c r="G503" s="1451"/>
      <c r="H503" s="1451"/>
      <c r="I503" s="1451"/>
      <c r="J503" s="1451"/>
      <c r="K503" s="1451"/>
      <c r="L503" s="1451"/>
      <c r="M503" s="1451"/>
      <c r="N503" s="1451"/>
      <c r="O503" s="1451"/>
      <c r="P503" s="1451"/>
      <c r="Q503" s="1451"/>
      <c r="R503" s="1451"/>
      <c r="S503" s="1451"/>
      <c r="T503" s="1451"/>
      <c r="U503" s="1451"/>
      <c r="V503" s="1451"/>
      <c r="W503" s="1451"/>
      <c r="X503" s="1451"/>
      <c r="Y503" s="1451"/>
      <c r="Z503" s="1451"/>
      <c r="AA503" s="1451"/>
      <c r="AB503" s="1451"/>
      <c r="AC503" s="1451"/>
      <c r="AD503" s="1451"/>
      <c r="AE503" s="1452"/>
      <c r="AF503" s="61"/>
      <c r="AG503" s="61"/>
      <c r="AH503" s="61"/>
      <c r="AI503" s="61"/>
    </row>
    <row r="504" spans="1:35" s="417" customFormat="1" ht="15" customHeight="1" x14ac:dyDescent="0.2">
      <c r="A504" s="551" t="s">
        <v>532</v>
      </c>
      <c r="B504" s="398" t="s">
        <v>343</v>
      </c>
      <c r="C504" s="212">
        <v>4</v>
      </c>
      <c r="D504" s="170">
        <v>1</v>
      </c>
      <c r="E504" s="170">
        <v>1</v>
      </c>
      <c r="F504" s="170">
        <v>6</v>
      </c>
      <c r="G504" s="170">
        <v>60</v>
      </c>
      <c r="H504" s="170">
        <f>(8-1-0.75*2)*60*E504-J504-8*0.12*60</f>
        <v>57.900000000000006</v>
      </c>
      <c r="I504" s="170">
        <v>14</v>
      </c>
      <c r="J504" s="170">
        <f>(8-1-0.75*2)*0.65*60*E504</f>
        <v>214.5</v>
      </c>
      <c r="K504" s="170">
        <v>2.4700000000000002</v>
      </c>
      <c r="L504" s="170">
        <v>2.4700000000000002</v>
      </c>
      <c r="M504" s="170">
        <v>10</v>
      </c>
      <c r="N504" s="170">
        <f>D504/E504</f>
        <v>1</v>
      </c>
      <c r="O504" s="170">
        <v>180</v>
      </c>
      <c r="P504" s="170">
        <v>90</v>
      </c>
      <c r="Q504" s="211">
        <v>95</v>
      </c>
      <c r="R504" s="170">
        <v>0.48</v>
      </c>
      <c r="S504" s="207">
        <f>ROUND((K504*H504+1.3*K504*J504+R504*G504),4)</f>
        <v>860.57249999999999</v>
      </c>
      <c r="T504" s="207">
        <f>ROUND((L504*H504+1.3*L504*J504+R504*G504),4)</f>
        <v>860.57249999999999</v>
      </c>
      <c r="U504" s="207">
        <f>ROUND((L504*H504+1.3*L504*J504+R504*G504),4)</f>
        <v>860.57249999999999</v>
      </c>
      <c r="V504" s="207">
        <f>ROUND((K504*I504+1.3*K504*M504+R504*F504),4)</f>
        <v>69.569999999999993</v>
      </c>
      <c r="W504" s="207">
        <f>ROUND((L504*I504+1.3*L504*M504+R504*F504),4)</f>
        <v>69.569999999999993</v>
      </c>
      <c r="X504" s="207">
        <f>ROUND((L504*I504+1.3*L504*M504+R504*F504),4)</f>
        <v>69.569999999999993</v>
      </c>
      <c r="Y504" s="385">
        <f>ROUND((O504*S504*E504*N504/1000000),4)</f>
        <v>0.15490000000000001</v>
      </c>
      <c r="Z504" s="385">
        <f>ROUND((P504*T504*E504*N504/1000000),4)</f>
        <v>7.7499999999999999E-2</v>
      </c>
      <c r="AA504" s="385">
        <f>ROUND((Q504*U504*E504*N504/1000000),4)</f>
        <v>8.1799999999999998E-2</v>
      </c>
      <c r="AB504" s="931" t="s">
        <v>48</v>
      </c>
      <c r="AC504" s="932" t="s">
        <v>49</v>
      </c>
      <c r="AD504" s="933">
        <f>ROUND((((W504*D504)/1800)*0.8),4)</f>
        <v>3.09E-2</v>
      </c>
      <c r="AE504" s="933">
        <f>ROUND(((Y504+Z504+AA504)*0.8),4)</f>
        <v>0.25140000000000001</v>
      </c>
      <c r="AF504" s="61"/>
      <c r="AG504" s="61"/>
      <c r="AH504" s="61"/>
      <c r="AI504" s="61"/>
    </row>
    <row r="505" spans="1:35" s="417" customFormat="1" ht="15" customHeight="1" x14ac:dyDescent="0.2">
      <c r="A505" s="552" t="s">
        <v>492</v>
      </c>
      <c r="B505" s="399" t="s">
        <v>359</v>
      </c>
      <c r="C505" s="387"/>
      <c r="D505" s="209"/>
      <c r="E505" s="209"/>
      <c r="F505" s="209"/>
      <c r="G505" s="209"/>
      <c r="H505" s="209"/>
      <c r="I505" s="209"/>
      <c r="J505" s="209"/>
      <c r="K505" s="209"/>
      <c r="L505" s="209"/>
      <c r="M505" s="209"/>
      <c r="N505" s="209"/>
      <c r="O505" s="209"/>
      <c r="P505" s="209"/>
      <c r="Q505" s="209"/>
      <c r="R505" s="388"/>
      <c r="S505" s="215"/>
      <c r="T505" s="215"/>
      <c r="U505" s="215"/>
      <c r="V505" s="215"/>
      <c r="W505" s="215"/>
      <c r="X505" s="215"/>
      <c r="Y505" s="215"/>
      <c r="Z505" s="215"/>
      <c r="AA505" s="215"/>
      <c r="AB505" s="931" t="s">
        <v>51</v>
      </c>
      <c r="AC505" s="932" t="s">
        <v>52</v>
      </c>
      <c r="AD505" s="933">
        <f>ROUND((((W504*D504)/1800)*0.13),4)</f>
        <v>5.0000000000000001E-3</v>
      </c>
      <c r="AE505" s="933">
        <f>ROUND(((Y504+Z504+AA504)*0.13),4)</f>
        <v>4.0800000000000003E-2</v>
      </c>
      <c r="AF505" s="61"/>
      <c r="AG505" s="61"/>
      <c r="AH505" s="61"/>
      <c r="AI505" s="61"/>
    </row>
    <row r="506" spans="1:35" s="417" customFormat="1" ht="15" customHeight="1" x14ac:dyDescent="0.2">
      <c r="A506" s="558"/>
      <c r="B506" s="387" t="s">
        <v>360</v>
      </c>
      <c r="C506" s="389"/>
      <c r="D506" s="209"/>
      <c r="E506" s="209"/>
      <c r="F506" s="209"/>
      <c r="G506" s="209"/>
      <c r="H506" s="209"/>
      <c r="I506" s="209"/>
      <c r="J506" s="209"/>
      <c r="K506" s="209">
        <v>0.19</v>
      </c>
      <c r="L506" s="209">
        <v>0.23</v>
      </c>
      <c r="M506" s="209"/>
      <c r="N506" s="209"/>
      <c r="O506" s="209"/>
      <c r="P506" s="209"/>
      <c r="Q506" s="209"/>
      <c r="R506" s="133">
        <v>9.7000000000000003E-2</v>
      </c>
      <c r="S506" s="207">
        <f>ROUND((K506*H504+1.3*K506*J504+R506*G504),4)</f>
        <v>69.802499999999995</v>
      </c>
      <c r="T506" s="207">
        <f>ROUND((L506*0.9*H504+1.3*L506*0.9*J504+R506*G504),4)</f>
        <v>75.527299999999997</v>
      </c>
      <c r="U506" s="207">
        <f>ROUND((L506*H504+1.3*L506*J504+R506*G504),4)</f>
        <v>83.272499999999994</v>
      </c>
      <c r="V506" s="207">
        <f>ROUND((K506*I504+1.3*K506*M504+R506*F504),4)</f>
        <v>5.7119999999999997</v>
      </c>
      <c r="W506" s="207">
        <f>ROUND((L506*0.9*I504+1.3*L506*0.9*M504+R506*F504),4)</f>
        <v>6.1710000000000003</v>
      </c>
      <c r="X506" s="207">
        <f>ROUND((L506*I504+1.3*L506*M504+R506*F504),4)</f>
        <v>6.7919999999999998</v>
      </c>
      <c r="Y506" s="385">
        <f>ROUND((O504*S506*E504*N504/1000000),4)</f>
        <v>1.26E-2</v>
      </c>
      <c r="Z506" s="385">
        <f>ROUND((P504*T506*E504*N504/1000000),4)</f>
        <v>6.7999999999999996E-3</v>
      </c>
      <c r="AA506" s="385">
        <f>ROUND((Q504*U506*E504*N504/1000000),4)</f>
        <v>7.9000000000000008E-3</v>
      </c>
      <c r="AB506" s="931" t="s">
        <v>56</v>
      </c>
      <c r="AC506" s="932" t="s">
        <v>57</v>
      </c>
      <c r="AD506" s="933">
        <f>ROUND((((W506*D504)/1800)),4)</f>
        <v>3.3999999999999998E-3</v>
      </c>
      <c r="AE506" s="933">
        <f>ROUND(((Y506+Z506+AA506)),5)</f>
        <v>2.7300000000000001E-2</v>
      </c>
      <c r="AF506" s="61"/>
      <c r="AG506" s="61"/>
      <c r="AH506" s="61"/>
      <c r="AI506" s="61"/>
    </row>
    <row r="507" spans="1:35" s="417" customFormat="1" ht="15" customHeight="1" x14ac:dyDescent="0.2">
      <c r="A507" s="558"/>
      <c r="B507" s="387"/>
      <c r="C507" s="387"/>
      <c r="D507" s="209"/>
      <c r="E507" s="209"/>
      <c r="F507" s="209"/>
      <c r="G507" s="209"/>
      <c r="H507" s="209"/>
      <c r="I507" s="209"/>
      <c r="J507" s="209"/>
      <c r="K507" s="209">
        <v>0.43</v>
      </c>
      <c r="L507" s="209">
        <v>0.51</v>
      </c>
      <c r="M507" s="209"/>
      <c r="N507" s="209"/>
      <c r="O507" s="209"/>
      <c r="P507" s="209"/>
      <c r="Q507" s="209"/>
      <c r="R507" s="133">
        <v>0.3</v>
      </c>
      <c r="S507" s="207">
        <f>ROUND((K507*H504+1.3*K507*J504+R507*G504),4)</f>
        <v>162.80250000000001</v>
      </c>
      <c r="T507" s="207">
        <f>ROUND((L507*0.9*H504+1.3*L507*0.9*J504+R507*G504),4)</f>
        <v>172.56829999999999</v>
      </c>
      <c r="U507" s="207">
        <f>ROUND((L507*H504+1.3*L507*J504+R507*G504),4)</f>
        <v>189.74250000000001</v>
      </c>
      <c r="V507" s="207">
        <f>ROUND((K507*I504+1.3*K507*M504+R507*F504),4)</f>
        <v>13.41</v>
      </c>
      <c r="W507" s="207">
        <f>ROUND((L507*0.9*I504+1.3*L507*0.9*M504+R507*F504),4)</f>
        <v>14.193</v>
      </c>
      <c r="X507" s="207">
        <f>ROUND((L507*I504+1.3*M504+R507*F504),4)</f>
        <v>21.94</v>
      </c>
      <c r="Y507" s="385">
        <f>ROUND((O504*S507*E504*N504/1000000),4)</f>
        <v>2.93E-2</v>
      </c>
      <c r="Z507" s="385">
        <f>ROUND((P504*T507*E504*N504/1000000),4)</f>
        <v>1.55E-2</v>
      </c>
      <c r="AA507" s="385">
        <f>ROUND((Q504*U507*E504*N504/1000000),4)</f>
        <v>1.7999999999999999E-2</v>
      </c>
      <c r="AB507" s="931" t="s">
        <v>177</v>
      </c>
      <c r="AC507" s="932" t="s">
        <v>178</v>
      </c>
      <c r="AD507" s="933">
        <f>ROUND((((W507*D504)/1800)),4)</f>
        <v>7.9000000000000008E-3</v>
      </c>
      <c r="AE507" s="933">
        <f>ROUND(((Y507+Z507+AA507)),4)</f>
        <v>6.2799999999999995E-2</v>
      </c>
      <c r="AF507" s="61"/>
      <c r="AG507" s="61"/>
      <c r="AH507" s="61"/>
      <c r="AI507" s="61"/>
    </row>
    <row r="508" spans="1:35" s="417" customFormat="1" ht="15" customHeight="1" x14ac:dyDescent="0.2">
      <c r="A508" s="558"/>
      <c r="B508" s="387"/>
      <c r="C508" s="387"/>
      <c r="D508" s="209"/>
      <c r="E508" s="209"/>
      <c r="F508" s="209"/>
      <c r="G508" s="209"/>
      <c r="H508" s="209"/>
      <c r="I508" s="209"/>
      <c r="J508" s="209"/>
      <c r="K508" s="209">
        <v>0.27</v>
      </c>
      <c r="L508" s="209">
        <v>0.41</v>
      </c>
      <c r="M508" s="209"/>
      <c r="N508" s="209"/>
      <c r="O508" s="209"/>
      <c r="P508" s="209"/>
      <c r="Q508" s="209"/>
      <c r="R508" s="133">
        <v>0.06</v>
      </c>
      <c r="S508" s="207">
        <f>ROUND((K508*H504+1.3*K508*J504+R508*G504),4)</f>
        <v>94.522499999999994</v>
      </c>
      <c r="T508" s="207">
        <f>ROUND((L508*0.9*H504+1.3*L508*0.9*J504+R508*G504),4)</f>
        <v>127.8608</v>
      </c>
      <c r="U508" s="207">
        <f>ROUND((L508*H504+1.3*L508*J504+R508*G504),4)</f>
        <v>141.66749999999999</v>
      </c>
      <c r="V508" s="207">
        <f>ROUND((K508*I504+1.3*K508*M504+R508*F504),4)</f>
        <v>7.65</v>
      </c>
      <c r="W508" s="207">
        <f>ROUND((L508*0.9*I504+1.3*L508*0.9*M504+R508*F504),4)</f>
        <v>10.323</v>
      </c>
      <c r="X508" s="207">
        <f>ROUND((L508*I504+1.3*L508*M504+R508*F504),4)</f>
        <v>11.43</v>
      </c>
      <c r="Y508" s="385">
        <f>ROUND((O504*S508*E504*N504/1000000),4)</f>
        <v>1.7000000000000001E-2</v>
      </c>
      <c r="Z508" s="385">
        <f>ROUND((P504*T508*E504*N504/1000000),4)</f>
        <v>1.15E-2</v>
      </c>
      <c r="AA508" s="385">
        <f>ROUND((Q504*U508*E504*N504/1000000),4)</f>
        <v>1.35E-2</v>
      </c>
      <c r="AB508" s="931" t="s">
        <v>61</v>
      </c>
      <c r="AC508" s="932" t="s">
        <v>62</v>
      </c>
      <c r="AD508" s="933">
        <f>ROUND((((W508*D504)/1800)),4)</f>
        <v>5.7000000000000002E-3</v>
      </c>
      <c r="AE508" s="933">
        <f>ROUND(((Y508+Z508+AA508)),4)</f>
        <v>4.2000000000000003E-2</v>
      </c>
      <c r="AF508" s="61"/>
      <c r="AG508" s="61"/>
      <c r="AH508" s="61"/>
      <c r="AI508" s="61"/>
    </row>
    <row r="509" spans="1:35" s="417" customFormat="1" ht="15" customHeight="1" x14ac:dyDescent="0.2">
      <c r="A509" s="563"/>
      <c r="B509" s="214"/>
      <c r="C509" s="214"/>
      <c r="D509" s="210"/>
      <c r="E509" s="210"/>
      <c r="F509" s="210"/>
      <c r="G509" s="210"/>
      <c r="H509" s="210"/>
      <c r="I509" s="210"/>
      <c r="J509" s="210"/>
      <c r="K509" s="210">
        <v>1.29</v>
      </c>
      <c r="L509" s="210">
        <v>1.57</v>
      </c>
      <c r="M509" s="210"/>
      <c r="N509" s="210"/>
      <c r="O509" s="210"/>
      <c r="P509" s="210"/>
      <c r="Q509" s="210"/>
      <c r="R509" s="133">
        <v>2.4</v>
      </c>
      <c r="S509" s="134">
        <f>ROUND((K509*H504+1.3*K509*J504+R509*G504),4)</f>
        <v>578.40750000000003</v>
      </c>
      <c r="T509" s="134">
        <f>ROUND((L509*0.9*H504+1.3*L509*0.9*J504+R509*G504),4)</f>
        <v>619.82780000000002</v>
      </c>
      <c r="U509" s="134">
        <f>ROUND((L509*H504+1.3*L509*J504+R509*G504),4)</f>
        <v>672.69749999999999</v>
      </c>
      <c r="V509" s="134">
        <f>ROUND((K509*I504+1.3*K509*M504+R509*F504),4)</f>
        <v>49.23</v>
      </c>
      <c r="W509" s="134">
        <f>ROUND((L509*0.9*I504+1.3*L509*0.9*M504+R509*F504),4)</f>
        <v>52.551000000000002</v>
      </c>
      <c r="X509" s="134">
        <f>ROUND((L509*I504+1.3*L509*M504+R509*F504),4)</f>
        <v>56.79</v>
      </c>
      <c r="Y509" s="394">
        <f>ROUND((O504*S509*E504*N504/1000000),4)</f>
        <v>0.1041</v>
      </c>
      <c r="Z509" s="394">
        <f>ROUND((P504*T509*E504*N504/1000000),4)</f>
        <v>5.5800000000000002E-2</v>
      </c>
      <c r="AA509" s="394">
        <f>ROUND((Q504*U509*E504*N504/1000000),4)</f>
        <v>6.3899999999999998E-2</v>
      </c>
      <c r="AB509" s="931" t="s">
        <v>65</v>
      </c>
      <c r="AC509" s="932" t="s">
        <v>66</v>
      </c>
      <c r="AD509" s="933">
        <f>ROUND((((W509*D504)/1800)),4)</f>
        <v>2.92E-2</v>
      </c>
      <c r="AE509" s="933">
        <f>ROUND(((Y509+Z509+AA509)),4)</f>
        <v>0.2238</v>
      </c>
      <c r="AF509" s="61">
        <f>SUM(AD504:AD509)</f>
        <v>8.2100000000000006E-2</v>
      </c>
      <c r="AG509" s="61">
        <f>SUM(AE504:AE509)</f>
        <v>0.6480999999999999</v>
      </c>
      <c r="AH509" s="61"/>
      <c r="AI509" s="61"/>
    </row>
    <row r="510" spans="1:35" s="417" customFormat="1" ht="15" customHeight="1" x14ac:dyDescent="0.2">
      <c r="A510" s="1449" t="s">
        <v>562</v>
      </c>
      <c r="B510" s="1450"/>
      <c r="C510" s="1451"/>
      <c r="D510" s="1451"/>
      <c r="E510" s="1451"/>
      <c r="F510" s="1451"/>
      <c r="G510" s="1451"/>
      <c r="H510" s="1451"/>
      <c r="I510" s="1451"/>
      <c r="J510" s="1451"/>
      <c r="K510" s="1451"/>
      <c r="L510" s="1451"/>
      <c r="M510" s="1451"/>
      <c r="N510" s="1451"/>
      <c r="O510" s="1451"/>
      <c r="P510" s="1451"/>
      <c r="Q510" s="1451"/>
      <c r="R510" s="1451"/>
      <c r="S510" s="1451"/>
      <c r="T510" s="1451"/>
      <c r="U510" s="1451"/>
      <c r="V510" s="1451"/>
      <c r="W510" s="1451"/>
      <c r="X510" s="1451"/>
      <c r="Y510" s="1451"/>
      <c r="Z510" s="1451"/>
      <c r="AA510" s="1451"/>
      <c r="AB510" s="1451"/>
      <c r="AC510" s="1451"/>
      <c r="AD510" s="1451"/>
      <c r="AE510" s="1452"/>
      <c r="AF510" s="61"/>
      <c r="AG510" s="61"/>
      <c r="AH510" s="61"/>
      <c r="AI510" s="61"/>
    </row>
    <row r="511" spans="1:35" s="417" customFormat="1" ht="15" customHeight="1" x14ac:dyDescent="0.2">
      <c r="A511" s="551" t="s">
        <v>535</v>
      </c>
      <c r="B511" s="398" t="s">
        <v>343</v>
      </c>
      <c r="C511" s="212">
        <v>4</v>
      </c>
      <c r="D511" s="170">
        <v>1</v>
      </c>
      <c r="E511" s="170">
        <v>1</v>
      </c>
      <c r="F511" s="170">
        <v>6</v>
      </c>
      <c r="G511" s="170">
        <v>60</v>
      </c>
      <c r="H511" s="170">
        <f>(8-1-0.75*2)*60*E511-J511-8*0.12*60</f>
        <v>57.900000000000006</v>
      </c>
      <c r="I511" s="170">
        <v>14</v>
      </c>
      <c r="J511" s="170">
        <f>(8-1-0.75*2)*0.65*60*E511</f>
        <v>214.5</v>
      </c>
      <c r="K511" s="170">
        <v>2.4700000000000002</v>
      </c>
      <c r="L511" s="170">
        <v>2.4700000000000002</v>
      </c>
      <c r="M511" s="170">
        <v>10</v>
      </c>
      <c r="N511" s="170">
        <f>D511/E511</f>
        <v>1</v>
      </c>
      <c r="O511" s="170">
        <v>180</v>
      </c>
      <c r="P511" s="170">
        <v>90</v>
      </c>
      <c r="Q511" s="211">
        <v>95</v>
      </c>
      <c r="R511" s="170">
        <v>0.48</v>
      </c>
      <c r="S511" s="207">
        <f>ROUND((K511*H511+1.3*K511*J511+R511*G511),4)</f>
        <v>860.57249999999999</v>
      </c>
      <c r="T511" s="207">
        <f>ROUND((L511*H511+1.3*L511*J511+R511*G511),4)</f>
        <v>860.57249999999999</v>
      </c>
      <c r="U511" s="207">
        <f>ROUND((L511*H511+1.3*L511*J511+R511*G511),4)</f>
        <v>860.57249999999999</v>
      </c>
      <c r="V511" s="207">
        <f>ROUND((K511*I511+1.3*K511*M511+R511*F511),4)</f>
        <v>69.569999999999993</v>
      </c>
      <c r="W511" s="207">
        <f>ROUND((L511*I511+1.3*L511*M511+R511*F511),4)</f>
        <v>69.569999999999993</v>
      </c>
      <c r="X511" s="207">
        <f>ROUND((L511*I511+1.3*L511*M511+R511*F511),4)</f>
        <v>69.569999999999993</v>
      </c>
      <c r="Y511" s="385">
        <f>ROUND((O511*S511*E511*N511/1000000),4)</f>
        <v>0.15490000000000001</v>
      </c>
      <c r="Z511" s="385">
        <f>ROUND((P511*T511*E511*N511/1000000),4)</f>
        <v>7.7499999999999999E-2</v>
      </c>
      <c r="AA511" s="385">
        <f>ROUND((Q511*U511*E511*N511/1000000),4)</f>
        <v>8.1799999999999998E-2</v>
      </c>
      <c r="AB511" s="931" t="s">
        <v>48</v>
      </c>
      <c r="AC511" s="932" t="s">
        <v>49</v>
      </c>
      <c r="AD511" s="933">
        <f>ROUND((((W511*D511)/1800)*0.8),4)</f>
        <v>3.09E-2</v>
      </c>
      <c r="AE511" s="933">
        <f>ROUND(((Y511+Z511+AA511)*0.8),4)</f>
        <v>0.25140000000000001</v>
      </c>
      <c r="AF511" s="61"/>
      <c r="AG511" s="61"/>
      <c r="AH511" s="61"/>
      <c r="AI511" s="61"/>
    </row>
    <row r="512" spans="1:35" s="417" customFormat="1" ht="15" customHeight="1" x14ac:dyDescent="0.2">
      <c r="A512" s="552" t="s">
        <v>492</v>
      </c>
      <c r="B512" s="399" t="s">
        <v>359</v>
      </c>
      <c r="C512" s="387"/>
      <c r="D512" s="209"/>
      <c r="E512" s="209"/>
      <c r="F512" s="209"/>
      <c r="G512" s="209"/>
      <c r="H512" s="209"/>
      <c r="I512" s="209"/>
      <c r="J512" s="209"/>
      <c r="K512" s="209"/>
      <c r="L512" s="209"/>
      <c r="M512" s="209"/>
      <c r="N512" s="209"/>
      <c r="O512" s="209"/>
      <c r="P512" s="209"/>
      <c r="Q512" s="209"/>
      <c r="R512" s="388"/>
      <c r="S512" s="215"/>
      <c r="T512" s="215"/>
      <c r="U512" s="215"/>
      <c r="V512" s="215"/>
      <c r="W512" s="215"/>
      <c r="X512" s="215"/>
      <c r="Y512" s="215"/>
      <c r="Z512" s="215"/>
      <c r="AA512" s="215"/>
      <c r="AB512" s="931" t="s">
        <v>51</v>
      </c>
      <c r="AC512" s="932" t="s">
        <v>52</v>
      </c>
      <c r="AD512" s="933">
        <f>ROUND((((W511*D511)/1800)*0.13),4)</f>
        <v>5.0000000000000001E-3</v>
      </c>
      <c r="AE512" s="933">
        <f>ROUND(((Y511+Z511+AA511)*0.13),4)</f>
        <v>4.0800000000000003E-2</v>
      </c>
      <c r="AF512" s="61"/>
      <c r="AG512" s="61"/>
      <c r="AH512" s="61"/>
      <c r="AI512" s="61"/>
    </row>
    <row r="513" spans="1:35" s="417" customFormat="1" ht="15" customHeight="1" x14ac:dyDescent="0.2">
      <c r="A513" s="558"/>
      <c r="B513" s="387" t="s">
        <v>360</v>
      </c>
      <c r="C513" s="389"/>
      <c r="D513" s="209"/>
      <c r="E513" s="209"/>
      <c r="F513" s="209"/>
      <c r="G513" s="209"/>
      <c r="H513" s="209"/>
      <c r="I513" s="209"/>
      <c r="J513" s="209"/>
      <c r="K513" s="209">
        <v>0.19</v>
      </c>
      <c r="L513" s="209">
        <v>0.23</v>
      </c>
      <c r="M513" s="209"/>
      <c r="N513" s="209"/>
      <c r="O513" s="209"/>
      <c r="P513" s="209"/>
      <c r="Q513" s="209"/>
      <c r="R513" s="133">
        <v>9.7000000000000003E-2</v>
      </c>
      <c r="S513" s="207">
        <f>ROUND((K513*H511+1.3*K513*J511+R513*G511),4)</f>
        <v>69.802499999999995</v>
      </c>
      <c r="T513" s="207">
        <f>ROUND((L513*0.9*H511+1.3*L513*0.9*J511+R513*G511),4)</f>
        <v>75.527299999999997</v>
      </c>
      <c r="U513" s="207">
        <f>ROUND((L513*H511+1.3*L513*J511+R513*G511),4)</f>
        <v>83.272499999999994</v>
      </c>
      <c r="V513" s="207">
        <f>ROUND((K513*I511+1.3*K513*M511+R513*F511),4)</f>
        <v>5.7119999999999997</v>
      </c>
      <c r="W513" s="207">
        <f>ROUND((L513*0.9*I511+1.3*L513*0.9*M511+R513*F511),4)</f>
        <v>6.1710000000000003</v>
      </c>
      <c r="X513" s="207">
        <f>ROUND((L513*I511+1.3*L513*M511+R513*F511),4)</f>
        <v>6.7919999999999998</v>
      </c>
      <c r="Y513" s="385">
        <f>ROUND((O511*S513*E511*N511/1000000),4)</f>
        <v>1.26E-2</v>
      </c>
      <c r="Z513" s="385">
        <f>ROUND((P511*T513*E511*N511/1000000),4)</f>
        <v>6.7999999999999996E-3</v>
      </c>
      <c r="AA513" s="385">
        <f>ROUND((Q511*U513*E511*N511/1000000),4)</f>
        <v>7.9000000000000008E-3</v>
      </c>
      <c r="AB513" s="931" t="s">
        <v>56</v>
      </c>
      <c r="AC513" s="932" t="s">
        <v>57</v>
      </c>
      <c r="AD513" s="933">
        <f>ROUND((((W513*D511)/1800)),4)</f>
        <v>3.3999999999999998E-3</v>
      </c>
      <c r="AE513" s="933">
        <f>ROUND(((Y513+Z513+AA513)),5)</f>
        <v>2.7300000000000001E-2</v>
      </c>
      <c r="AF513" s="61"/>
      <c r="AG513" s="61"/>
      <c r="AH513" s="61"/>
      <c r="AI513" s="61"/>
    </row>
    <row r="514" spans="1:35" s="417" customFormat="1" ht="15" customHeight="1" x14ac:dyDescent="0.2">
      <c r="A514" s="558"/>
      <c r="B514" s="387"/>
      <c r="C514" s="387"/>
      <c r="D514" s="209"/>
      <c r="E514" s="209"/>
      <c r="F514" s="209"/>
      <c r="G514" s="209"/>
      <c r="H514" s="209"/>
      <c r="I514" s="209"/>
      <c r="J514" s="209"/>
      <c r="K514" s="209">
        <v>0.43</v>
      </c>
      <c r="L514" s="209">
        <v>0.51</v>
      </c>
      <c r="M514" s="209"/>
      <c r="N514" s="209"/>
      <c r="O514" s="209"/>
      <c r="P514" s="209"/>
      <c r="Q514" s="209"/>
      <c r="R514" s="133">
        <v>0.3</v>
      </c>
      <c r="S514" s="207">
        <f>ROUND((K514*H511+1.3*K514*J511+R514*G511),4)</f>
        <v>162.80250000000001</v>
      </c>
      <c r="T514" s="207">
        <f>ROUND((L514*0.9*H511+1.3*L514*0.9*J511+R514*G511),4)</f>
        <v>172.56829999999999</v>
      </c>
      <c r="U514" s="207">
        <f>ROUND((L514*H511+1.3*L514*J511+R514*G511),4)</f>
        <v>189.74250000000001</v>
      </c>
      <c r="V514" s="207">
        <f>ROUND((K514*I511+1.3*K514*M511+R514*F511),4)</f>
        <v>13.41</v>
      </c>
      <c r="W514" s="207">
        <f>ROUND((L514*0.9*I511+1.3*L514*0.9*M511+R514*F511),4)</f>
        <v>14.193</v>
      </c>
      <c r="X514" s="207">
        <f>ROUND((L514*I511+1.3*M511+R514*F511),4)</f>
        <v>21.94</v>
      </c>
      <c r="Y514" s="385">
        <f>ROUND((O511*S514*E511*N511/1000000),4)</f>
        <v>2.93E-2</v>
      </c>
      <c r="Z514" s="385">
        <f>ROUND((P511*T514*E511*N511/1000000),4)</f>
        <v>1.55E-2</v>
      </c>
      <c r="AA514" s="385">
        <f>ROUND((Q511*U514*E511*N511/1000000),4)</f>
        <v>1.7999999999999999E-2</v>
      </c>
      <c r="AB514" s="931" t="s">
        <v>177</v>
      </c>
      <c r="AC514" s="932" t="s">
        <v>178</v>
      </c>
      <c r="AD514" s="933">
        <f>ROUND((((W514*D511)/1800)),4)</f>
        <v>7.9000000000000008E-3</v>
      </c>
      <c r="AE514" s="933">
        <f>ROUND(((Y514+Z514+AA514)),4)</f>
        <v>6.2799999999999995E-2</v>
      </c>
      <c r="AF514" s="61"/>
      <c r="AG514" s="61"/>
      <c r="AH514" s="61"/>
      <c r="AI514" s="61"/>
    </row>
    <row r="515" spans="1:35" s="417" customFormat="1" ht="15" customHeight="1" x14ac:dyDescent="0.2">
      <c r="A515" s="558"/>
      <c r="B515" s="387"/>
      <c r="C515" s="387"/>
      <c r="D515" s="209"/>
      <c r="E515" s="209"/>
      <c r="F515" s="209"/>
      <c r="G515" s="209"/>
      <c r="H515" s="209"/>
      <c r="I515" s="209"/>
      <c r="J515" s="209"/>
      <c r="K515" s="209">
        <v>0.27</v>
      </c>
      <c r="L515" s="209">
        <v>0.41</v>
      </c>
      <c r="M515" s="209"/>
      <c r="N515" s="209"/>
      <c r="O515" s="209"/>
      <c r="P515" s="209"/>
      <c r="Q515" s="209"/>
      <c r="R515" s="133">
        <v>0.06</v>
      </c>
      <c r="S515" s="207">
        <f>ROUND((K515*H511+1.3*K515*J511+R515*G511),4)</f>
        <v>94.522499999999994</v>
      </c>
      <c r="T515" s="207">
        <f>ROUND((L515*0.9*H511+1.3*L515*0.9*J511+R515*G511),4)</f>
        <v>127.8608</v>
      </c>
      <c r="U515" s="207">
        <f>ROUND((L515*H511+1.3*L515*J511+R515*G511),4)</f>
        <v>141.66749999999999</v>
      </c>
      <c r="V515" s="207">
        <f>ROUND((K515*I511+1.3*K515*M511+R515*F511),4)</f>
        <v>7.65</v>
      </c>
      <c r="W515" s="207">
        <f>ROUND((L515*0.9*I511+1.3*L515*0.9*M511+R515*F511),4)</f>
        <v>10.323</v>
      </c>
      <c r="X515" s="207">
        <f>ROUND((L515*I511+1.3*L515*M511+R515*F511),4)</f>
        <v>11.43</v>
      </c>
      <c r="Y515" s="385">
        <f>ROUND((O511*S515*E511*N511/1000000),4)</f>
        <v>1.7000000000000001E-2</v>
      </c>
      <c r="Z515" s="385">
        <f>ROUND((P511*T515*E511*N511/1000000),4)</f>
        <v>1.15E-2</v>
      </c>
      <c r="AA515" s="385">
        <f>ROUND((Q511*U515*E511*N511/1000000),4)</f>
        <v>1.35E-2</v>
      </c>
      <c r="AB515" s="931" t="s">
        <v>61</v>
      </c>
      <c r="AC515" s="932" t="s">
        <v>62</v>
      </c>
      <c r="AD515" s="933">
        <f>ROUND((((W515*D511)/1800)),4)</f>
        <v>5.7000000000000002E-3</v>
      </c>
      <c r="AE515" s="933">
        <f>ROUND(((Y515+Z515+AA515)),4)</f>
        <v>4.2000000000000003E-2</v>
      </c>
      <c r="AF515" s="61"/>
      <c r="AG515" s="61"/>
      <c r="AH515" s="61"/>
      <c r="AI515" s="61"/>
    </row>
    <row r="516" spans="1:35" s="417" customFormat="1" ht="15" customHeight="1" x14ac:dyDescent="0.2">
      <c r="A516" s="563"/>
      <c r="B516" s="214"/>
      <c r="C516" s="214"/>
      <c r="D516" s="210"/>
      <c r="E516" s="210"/>
      <c r="F516" s="210"/>
      <c r="G516" s="210"/>
      <c r="H516" s="210"/>
      <c r="I516" s="210"/>
      <c r="J516" s="210"/>
      <c r="K516" s="210">
        <v>1.29</v>
      </c>
      <c r="L516" s="210">
        <v>1.57</v>
      </c>
      <c r="M516" s="210"/>
      <c r="N516" s="210"/>
      <c r="O516" s="210"/>
      <c r="P516" s="210"/>
      <c r="Q516" s="210"/>
      <c r="R516" s="133">
        <v>2.4</v>
      </c>
      <c r="S516" s="134">
        <f>ROUND((K516*H511+1.3*K516*J511+R516*G511),4)</f>
        <v>578.40750000000003</v>
      </c>
      <c r="T516" s="134">
        <f>ROUND((L516*0.9*H511+1.3*L516*0.9*J511+R516*G511),4)</f>
        <v>619.82780000000002</v>
      </c>
      <c r="U516" s="134">
        <f>ROUND((L516*H511+1.3*L516*J511+R516*G511),4)</f>
        <v>672.69749999999999</v>
      </c>
      <c r="V516" s="134">
        <f>ROUND((K516*I511+1.3*K516*M511+R516*F511),4)</f>
        <v>49.23</v>
      </c>
      <c r="W516" s="134">
        <f>ROUND((L516*0.9*I511+1.3*L516*0.9*M511+R516*F511),4)</f>
        <v>52.551000000000002</v>
      </c>
      <c r="X516" s="134">
        <f>ROUND((L516*I511+1.3*L516*M511+R516*F511),4)</f>
        <v>56.79</v>
      </c>
      <c r="Y516" s="394">
        <f>ROUND((O511*S516*E511*N511/1000000),4)</f>
        <v>0.1041</v>
      </c>
      <c r="Z516" s="394">
        <f>ROUND((P511*T516*E511*N511/1000000),4)</f>
        <v>5.5800000000000002E-2</v>
      </c>
      <c r="AA516" s="394">
        <f>ROUND((Q511*U516*E511*N511/1000000),4)</f>
        <v>6.3899999999999998E-2</v>
      </c>
      <c r="AB516" s="931" t="s">
        <v>65</v>
      </c>
      <c r="AC516" s="932" t="s">
        <v>66</v>
      </c>
      <c r="AD516" s="933">
        <f>ROUND((((W516*D511)/1800)),4)</f>
        <v>2.92E-2</v>
      </c>
      <c r="AE516" s="933">
        <f>ROUND(((Y516+Z516+AA516)),4)</f>
        <v>0.2238</v>
      </c>
      <c r="AF516" s="61">
        <f>SUM(AD511:AD516)</f>
        <v>8.2100000000000006E-2</v>
      </c>
      <c r="AG516" s="61">
        <f>SUM(AE511:AE516)</f>
        <v>0.6480999999999999</v>
      </c>
      <c r="AH516" s="61"/>
      <c r="AI516" s="61"/>
    </row>
    <row r="517" spans="1:35" s="417" customFormat="1" ht="15" customHeight="1" x14ac:dyDescent="0.2">
      <c r="A517" s="1449" t="s">
        <v>564</v>
      </c>
      <c r="B517" s="1450"/>
      <c r="C517" s="1451"/>
      <c r="D517" s="1451"/>
      <c r="E517" s="1451"/>
      <c r="F517" s="1451"/>
      <c r="G517" s="1451"/>
      <c r="H517" s="1451"/>
      <c r="I517" s="1451"/>
      <c r="J517" s="1451"/>
      <c r="K517" s="1451"/>
      <c r="L517" s="1451"/>
      <c r="M517" s="1451"/>
      <c r="N517" s="1451"/>
      <c r="O517" s="1451"/>
      <c r="P517" s="1451"/>
      <c r="Q517" s="1451"/>
      <c r="R517" s="1451"/>
      <c r="S517" s="1451"/>
      <c r="T517" s="1451"/>
      <c r="U517" s="1451"/>
      <c r="V517" s="1451"/>
      <c r="W517" s="1451"/>
      <c r="X517" s="1451"/>
      <c r="Y517" s="1451"/>
      <c r="Z517" s="1451"/>
      <c r="AA517" s="1451"/>
      <c r="AB517" s="1451"/>
      <c r="AC517" s="1451"/>
      <c r="AD517" s="1451"/>
      <c r="AE517" s="1452"/>
      <c r="AF517" s="61"/>
      <c r="AG517" s="61"/>
      <c r="AH517" s="61"/>
      <c r="AI517" s="61"/>
    </row>
    <row r="518" spans="1:35" s="417" customFormat="1" ht="15" customHeight="1" x14ac:dyDescent="0.2">
      <c r="A518" s="551" t="s">
        <v>536</v>
      </c>
      <c r="B518" s="398" t="s">
        <v>343</v>
      </c>
      <c r="C518" s="212">
        <v>4</v>
      </c>
      <c r="D518" s="170">
        <v>1</v>
      </c>
      <c r="E518" s="170">
        <v>1</v>
      </c>
      <c r="F518" s="170">
        <v>6</v>
      </c>
      <c r="G518" s="170">
        <v>60</v>
      </c>
      <c r="H518" s="170">
        <f>(8-1-0.75*2)*60*E518-J518-8*0.12*60</f>
        <v>57.900000000000006</v>
      </c>
      <c r="I518" s="170">
        <v>14</v>
      </c>
      <c r="J518" s="170">
        <f>(8-1-0.75*2)*0.65*60*E518</f>
        <v>214.5</v>
      </c>
      <c r="K518" s="170">
        <v>2.4700000000000002</v>
      </c>
      <c r="L518" s="170">
        <v>2.4700000000000002</v>
      </c>
      <c r="M518" s="170">
        <v>10</v>
      </c>
      <c r="N518" s="170">
        <f>D518/E518</f>
        <v>1</v>
      </c>
      <c r="O518" s="170">
        <v>173</v>
      </c>
      <c r="P518" s="170">
        <v>0</v>
      </c>
      <c r="Q518" s="211">
        <v>0</v>
      </c>
      <c r="R518" s="170">
        <v>0.48</v>
      </c>
      <c r="S518" s="207">
        <f>ROUND((K518*H518+1.3*K518*J518+R518*G518),4)</f>
        <v>860.57249999999999</v>
      </c>
      <c r="T518" s="207">
        <f>ROUND((L518*H518+1.3*L518*J518+R518*G518),4)</f>
        <v>860.57249999999999</v>
      </c>
      <c r="U518" s="207">
        <f>ROUND((L518*H518+1.3*L518*J518+R518*G518),4)</f>
        <v>860.57249999999999</v>
      </c>
      <c r="V518" s="207">
        <f>ROUND((K518*I518+1.3*K518*M518+R518*F518),4)</f>
        <v>69.569999999999993</v>
      </c>
      <c r="W518" s="207">
        <f>ROUND((L518*I518+1.3*L518*M518+R518*F518),4)</f>
        <v>69.569999999999993</v>
      </c>
      <c r="X518" s="207">
        <f>ROUND((L518*I518+1.3*L518*M518+R518*F518),4)</f>
        <v>69.569999999999993</v>
      </c>
      <c r="Y518" s="385">
        <f>ROUND((O518*S518*E518*N518/1000000),4)</f>
        <v>0.1489</v>
      </c>
      <c r="Z518" s="385">
        <f>ROUND((P518*T518*E518*N518/1000000),4)</f>
        <v>0</v>
      </c>
      <c r="AA518" s="385">
        <f>ROUND((Q518*U518*E518*N518/1000000),4)</f>
        <v>0</v>
      </c>
      <c r="AB518" s="931" t="s">
        <v>48</v>
      </c>
      <c r="AC518" s="932" t="s">
        <v>49</v>
      </c>
      <c r="AD518" s="933">
        <f>ROUND((((W518*D518)/1800)*0.8),4)</f>
        <v>3.09E-2</v>
      </c>
      <c r="AE518" s="933">
        <f>ROUND(((Y518+Z518+AA518)*0.8),4)</f>
        <v>0.1191</v>
      </c>
      <c r="AF518" s="61"/>
      <c r="AG518" s="61"/>
      <c r="AH518" s="61"/>
      <c r="AI518" s="61"/>
    </row>
    <row r="519" spans="1:35" s="417" customFormat="1" ht="15" customHeight="1" x14ac:dyDescent="0.2">
      <c r="A519" s="552" t="s">
        <v>492</v>
      </c>
      <c r="B519" s="399" t="s">
        <v>359</v>
      </c>
      <c r="C519" s="387"/>
      <c r="D519" s="209"/>
      <c r="E519" s="209"/>
      <c r="F519" s="209"/>
      <c r="G519" s="209"/>
      <c r="H519" s="209"/>
      <c r="I519" s="209"/>
      <c r="J519" s="209"/>
      <c r="K519" s="209"/>
      <c r="L519" s="209"/>
      <c r="M519" s="209"/>
      <c r="N519" s="209"/>
      <c r="O519" s="209"/>
      <c r="P519" s="209"/>
      <c r="Q519" s="209"/>
      <c r="R519" s="388"/>
      <c r="S519" s="215"/>
      <c r="T519" s="215"/>
      <c r="U519" s="215"/>
      <c r="V519" s="215"/>
      <c r="W519" s="215"/>
      <c r="X519" s="215"/>
      <c r="Y519" s="215"/>
      <c r="Z519" s="215"/>
      <c r="AA519" s="215"/>
      <c r="AB519" s="931" t="s">
        <v>51</v>
      </c>
      <c r="AC519" s="932" t="s">
        <v>52</v>
      </c>
      <c r="AD519" s="933">
        <f>ROUND((((W518*D518)/1800)*0.13),4)</f>
        <v>5.0000000000000001E-3</v>
      </c>
      <c r="AE519" s="933">
        <f>ROUND(((Y518+Z518+AA518)*0.13),4)</f>
        <v>1.9400000000000001E-2</v>
      </c>
      <c r="AF519" s="61"/>
      <c r="AG519" s="61"/>
      <c r="AH519" s="61"/>
      <c r="AI519" s="61"/>
    </row>
    <row r="520" spans="1:35" s="417" customFormat="1" ht="15" customHeight="1" x14ac:dyDescent="0.2">
      <c r="A520" s="558"/>
      <c r="B520" s="387" t="s">
        <v>360</v>
      </c>
      <c r="C520" s="389"/>
      <c r="D520" s="209"/>
      <c r="E520" s="209"/>
      <c r="F520" s="209"/>
      <c r="G520" s="209"/>
      <c r="H520" s="209"/>
      <c r="I520" s="209"/>
      <c r="J520" s="209"/>
      <c r="K520" s="209">
        <v>0.19</v>
      </c>
      <c r="L520" s="209">
        <v>0.23</v>
      </c>
      <c r="M520" s="209"/>
      <c r="N520" s="209"/>
      <c r="O520" s="209"/>
      <c r="P520" s="209"/>
      <c r="Q520" s="209"/>
      <c r="R520" s="133">
        <v>9.7000000000000003E-2</v>
      </c>
      <c r="S520" s="207">
        <f>ROUND((K520*H518+1.3*K520*J518+R520*G518),4)</f>
        <v>69.802499999999995</v>
      </c>
      <c r="T520" s="207">
        <f>ROUND((L520*0.9*H518+1.3*L520*0.9*J518+R520*G518),4)</f>
        <v>75.527299999999997</v>
      </c>
      <c r="U520" s="207">
        <f>ROUND((L520*H518+1.3*L520*J518+R520*G518),4)</f>
        <v>83.272499999999994</v>
      </c>
      <c r="V520" s="207">
        <f>ROUND((K520*I518+1.3*K520*M518+R520*F518),4)</f>
        <v>5.7119999999999997</v>
      </c>
      <c r="W520" s="207">
        <f>ROUND((L520*0.9*I518+1.3*L520*0.9*M518+R520*F518),4)</f>
        <v>6.1710000000000003</v>
      </c>
      <c r="X520" s="207">
        <f>ROUND((L520*I518+1.3*L520*M518+R520*F518),4)</f>
        <v>6.7919999999999998</v>
      </c>
      <c r="Y520" s="385">
        <f>ROUND((O518*S520*E518*N518/1000000),4)</f>
        <v>1.21E-2</v>
      </c>
      <c r="Z520" s="385">
        <f>ROUND((P518*T520*E518*N518/1000000),4)</f>
        <v>0</v>
      </c>
      <c r="AA520" s="385">
        <f>ROUND((Q518*U520*E518*N518/1000000),4)</f>
        <v>0</v>
      </c>
      <c r="AB520" s="931" t="s">
        <v>56</v>
      </c>
      <c r="AC520" s="932" t="s">
        <v>57</v>
      </c>
      <c r="AD520" s="933">
        <f>ROUND((((W520*D518)/1800)),4)</f>
        <v>3.3999999999999998E-3</v>
      </c>
      <c r="AE520" s="933">
        <f>ROUND(((Y520+Z520+AA520)),5)</f>
        <v>1.21E-2</v>
      </c>
      <c r="AF520" s="61"/>
      <c r="AG520" s="61"/>
      <c r="AH520" s="61"/>
      <c r="AI520" s="61"/>
    </row>
    <row r="521" spans="1:35" s="417" customFormat="1" ht="15" customHeight="1" x14ac:dyDescent="0.2">
      <c r="A521" s="558"/>
      <c r="B521" s="387"/>
      <c r="C521" s="387"/>
      <c r="D521" s="209"/>
      <c r="E521" s="209"/>
      <c r="F521" s="209"/>
      <c r="G521" s="209"/>
      <c r="H521" s="209"/>
      <c r="I521" s="209"/>
      <c r="J521" s="209"/>
      <c r="K521" s="209">
        <v>0.43</v>
      </c>
      <c r="L521" s="209">
        <v>0.51</v>
      </c>
      <c r="M521" s="209"/>
      <c r="N521" s="209"/>
      <c r="O521" s="209"/>
      <c r="P521" s="209"/>
      <c r="Q521" s="209"/>
      <c r="R521" s="133">
        <v>0.3</v>
      </c>
      <c r="S521" s="207">
        <f>ROUND((K521*H518+1.3*K521*J518+R521*G518),4)</f>
        <v>162.80250000000001</v>
      </c>
      <c r="T521" s="207">
        <f>ROUND((L521*0.9*H518+1.3*L521*0.9*J518+R521*G518),4)</f>
        <v>172.56829999999999</v>
      </c>
      <c r="U521" s="207">
        <f>ROUND((L521*H518+1.3*L521*J518+R521*G518),4)</f>
        <v>189.74250000000001</v>
      </c>
      <c r="V521" s="207">
        <f>ROUND((K521*I518+1.3*K521*M518+R521*F518),4)</f>
        <v>13.41</v>
      </c>
      <c r="W521" s="207">
        <f>ROUND((L521*0.9*I518+1.3*L521*0.9*M518+R521*F518),4)</f>
        <v>14.193</v>
      </c>
      <c r="X521" s="207">
        <f>ROUND((L521*I518+1.3*M518+R521*F518),4)</f>
        <v>21.94</v>
      </c>
      <c r="Y521" s="385">
        <f>ROUND((O518*S521*E518*N518/1000000),4)</f>
        <v>2.8199999999999999E-2</v>
      </c>
      <c r="Z521" s="385">
        <f>ROUND((P518*T521*E518*N518/1000000),4)</f>
        <v>0</v>
      </c>
      <c r="AA521" s="385">
        <f>ROUND((Q518*U521*E518*N518/1000000),4)</f>
        <v>0</v>
      </c>
      <c r="AB521" s="931" t="s">
        <v>177</v>
      </c>
      <c r="AC521" s="932" t="s">
        <v>178</v>
      </c>
      <c r="AD521" s="933">
        <f>ROUND((((W521*D518)/1800)),4)</f>
        <v>7.9000000000000008E-3</v>
      </c>
      <c r="AE521" s="933">
        <f>ROUND(((Y521+Z521+AA521)),4)</f>
        <v>2.8199999999999999E-2</v>
      </c>
      <c r="AF521" s="61"/>
      <c r="AG521" s="61"/>
      <c r="AH521" s="61"/>
      <c r="AI521" s="61"/>
    </row>
    <row r="522" spans="1:35" s="417" customFormat="1" ht="15" customHeight="1" x14ac:dyDescent="0.2">
      <c r="A522" s="558"/>
      <c r="B522" s="387"/>
      <c r="C522" s="387"/>
      <c r="D522" s="209"/>
      <c r="E522" s="209"/>
      <c r="F522" s="209"/>
      <c r="G522" s="209"/>
      <c r="H522" s="209"/>
      <c r="I522" s="209"/>
      <c r="J522" s="209"/>
      <c r="K522" s="209">
        <v>0.27</v>
      </c>
      <c r="L522" s="209">
        <v>0.41</v>
      </c>
      <c r="M522" s="209"/>
      <c r="N522" s="209"/>
      <c r="O522" s="209"/>
      <c r="P522" s="209"/>
      <c r="Q522" s="209"/>
      <c r="R522" s="133">
        <v>0.06</v>
      </c>
      <c r="S522" s="207">
        <f>ROUND((K522*H518+1.3*K522*J518+R522*G518),4)</f>
        <v>94.522499999999994</v>
      </c>
      <c r="T522" s="207">
        <f>ROUND((L522*0.9*H518+1.3*L522*0.9*J518+R522*G518),4)</f>
        <v>127.8608</v>
      </c>
      <c r="U522" s="207">
        <f>ROUND((L522*H518+1.3*L522*J518+R522*G518),4)</f>
        <v>141.66749999999999</v>
      </c>
      <c r="V522" s="207">
        <f>ROUND((K522*I518+1.3*K522*M518+R522*F518),4)</f>
        <v>7.65</v>
      </c>
      <c r="W522" s="207">
        <f>ROUND((L522*0.9*I518+1.3*L522*0.9*M518+R522*F518),4)</f>
        <v>10.323</v>
      </c>
      <c r="X522" s="207">
        <f>ROUND((L522*I518+1.3*L522*M518+R522*F518),4)</f>
        <v>11.43</v>
      </c>
      <c r="Y522" s="385">
        <f>ROUND((O518*S522*E518*N518/1000000),4)</f>
        <v>1.6400000000000001E-2</v>
      </c>
      <c r="Z522" s="385">
        <f>ROUND((P518*T522*E518*N518/1000000),4)</f>
        <v>0</v>
      </c>
      <c r="AA522" s="385">
        <f>ROUND((Q518*U522*E518*N518/1000000),4)</f>
        <v>0</v>
      </c>
      <c r="AB522" s="931" t="s">
        <v>61</v>
      </c>
      <c r="AC522" s="932" t="s">
        <v>62</v>
      </c>
      <c r="AD522" s="933">
        <f>ROUND((((W522*D518)/1800)),4)</f>
        <v>5.7000000000000002E-3</v>
      </c>
      <c r="AE522" s="933">
        <f>ROUND(((Y522+Z522+AA522)),4)</f>
        <v>1.6400000000000001E-2</v>
      </c>
      <c r="AF522" s="61"/>
      <c r="AG522" s="61"/>
      <c r="AH522" s="61"/>
      <c r="AI522" s="61"/>
    </row>
    <row r="523" spans="1:35" s="417" customFormat="1" ht="15" customHeight="1" x14ac:dyDescent="0.2">
      <c r="A523" s="563"/>
      <c r="B523" s="214"/>
      <c r="C523" s="214"/>
      <c r="D523" s="210"/>
      <c r="E523" s="210"/>
      <c r="F523" s="210"/>
      <c r="G523" s="210"/>
      <c r="H523" s="210"/>
      <c r="I523" s="210"/>
      <c r="J523" s="210"/>
      <c r="K523" s="210">
        <v>1.29</v>
      </c>
      <c r="L523" s="210">
        <v>1.57</v>
      </c>
      <c r="M523" s="210"/>
      <c r="N523" s="210"/>
      <c r="O523" s="210"/>
      <c r="P523" s="210"/>
      <c r="Q523" s="210"/>
      <c r="R523" s="133">
        <v>2.4</v>
      </c>
      <c r="S523" s="134">
        <f>ROUND((K523*H518+1.3*K523*J518+R523*G518),4)</f>
        <v>578.40750000000003</v>
      </c>
      <c r="T523" s="134">
        <f>ROUND((L523*0.9*H518+1.3*L523*0.9*J518+R523*G518),4)</f>
        <v>619.82780000000002</v>
      </c>
      <c r="U523" s="134">
        <f>ROUND((L523*H518+1.3*L523*J518+R523*G518),4)</f>
        <v>672.69749999999999</v>
      </c>
      <c r="V523" s="134">
        <f>ROUND((K523*I518+1.3*K523*M518+R523*F518),4)</f>
        <v>49.23</v>
      </c>
      <c r="W523" s="134">
        <f>ROUND((L523*0.9*I518+1.3*L523*0.9*M518+R523*F518),4)</f>
        <v>52.551000000000002</v>
      </c>
      <c r="X523" s="134">
        <f>ROUND((L523*I518+1.3*L523*M518+R523*F518),4)</f>
        <v>56.79</v>
      </c>
      <c r="Y523" s="394">
        <f>ROUND((O518*S523*E518*N518/1000000),4)</f>
        <v>0.10009999999999999</v>
      </c>
      <c r="Z523" s="394">
        <f>ROUND((P518*T523*E518*N518/1000000),4)</f>
        <v>0</v>
      </c>
      <c r="AA523" s="394">
        <f>ROUND((Q518*U523*E518*N518/1000000),4)</f>
        <v>0</v>
      </c>
      <c r="AB523" s="931" t="s">
        <v>65</v>
      </c>
      <c r="AC523" s="932" t="s">
        <v>66</v>
      </c>
      <c r="AD523" s="933">
        <f>ROUND((((W523*D518)/1800)),4)</f>
        <v>2.92E-2</v>
      </c>
      <c r="AE523" s="933">
        <f>ROUND(((Y523+Z523+AA523)),4)</f>
        <v>0.10009999999999999</v>
      </c>
      <c r="AF523" s="61">
        <f>SUM(AD518:AD523)</f>
        <v>8.2100000000000006E-2</v>
      </c>
      <c r="AG523" s="61">
        <f>SUM(AE518:AE523)</f>
        <v>0.29530000000000001</v>
      </c>
      <c r="AH523" s="61"/>
      <c r="AI523" s="61"/>
    </row>
    <row r="524" spans="1:35" s="417" customFormat="1" ht="15" customHeight="1" x14ac:dyDescent="0.2">
      <c r="A524" s="1449" t="s">
        <v>565</v>
      </c>
      <c r="B524" s="1450"/>
      <c r="C524" s="1451"/>
      <c r="D524" s="1451"/>
      <c r="E524" s="1451"/>
      <c r="F524" s="1451"/>
      <c r="G524" s="1451"/>
      <c r="H524" s="1451"/>
      <c r="I524" s="1451"/>
      <c r="J524" s="1451"/>
      <c r="K524" s="1451"/>
      <c r="L524" s="1451"/>
      <c r="M524" s="1451"/>
      <c r="N524" s="1451"/>
      <c r="O524" s="1451"/>
      <c r="P524" s="1451"/>
      <c r="Q524" s="1451"/>
      <c r="R524" s="1451"/>
      <c r="S524" s="1451"/>
      <c r="T524" s="1451"/>
      <c r="U524" s="1451"/>
      <c r="V524" s="1451"/>
      <c r="W524" s="1451"/>
      <c r="X524" s="1451"/>
      <c r="Y524" s="1451"/>
      <c r="Z524" s="1451"/>
      <c r="AA524" s="1451"/>
      <c r="AB524" s="1451"/>
      <c r="AC524" s="1451"/>
      <c r="AD524" s="1451"/>
      <c r="AE524" s="1452"/>
      <c r="AF524" s="61"/>
      <c r="AG524" s="61"/>
      <c r="AH524" s="61"/>
      <c r="AI524" s="61"/>
    </row>
    <row r="525" spans="1:35" s="417" customFormat="1" ht="15" customHeight="1" x14ac:dyDescent="0.2">
      <c r="A525" s="551" t="s">
        <v>537</v>
      </c>
      <c r="B525" s="398" t="s">
        <v>343</v>
      </c>
      <c r="C525" s="212">
        <v>4</v>
      </c>
      <c r="D525" s="170">
        <v>1</v>
      </c>
      <c r="E525" s="170">
        <v>1</v>
      </c>
      <c r="F525" s="170">
        <v>6</v>
      </c>
      <c r="G525" s="170">
        <v>60</v>
      </c>
      <c r="H525" s="170">
        <f>(8-1-0.75*2)*60*E525-J525-8*0.12*60</f>
        <v>57.900000000000006</v>
      </c>
      <c r="I525" s="170">
        <v>14</v>
      </c>
      <c r="J525" s="170">
        <f>(8-1-0.75*2)*0.65*60*E525</f>
        <v>214.5</v>
      </c>
      <c r="K525" s="170">
        <v>2.4700000000000002</v>
      </c>
      <c r="L525" s="170">
        <v>2.4700000000000002</v>
      </c>
      <c r="M525" s="170">
        <v>10</v>
      </c>
      <c r="N525" s="170">
        <f>D525/E525</f>
        <v>1</v>
      </c>
      <c r="O525" s="170">
        <v>173</v>
      </c>
      <c r="P525" s="170">
        <v>0</v>
      </c>
      <c r="Q525" s="211">
        <v>0</v>
      </c>
      <c r="R525" s="170">
        <v>0.48</v>
      </c>
      <c r="S525" s="207">
        <f>ROUND((K525*H525+1.3*K525*J525+R525*G525),4)</f>
        <v>860.57249999999999</v>
      </c>
      <c r="T525" s="207">
        <f>ROUND((L525*H525+1.3*L525*J525+R525*G525),4)</f>
        <v>860.57249999999999</v>
      </c>
      <c r="U525" s="207">
        <f>ROUND((L525*H525+1.3*L525*J525+R525*G525),4)</f>
        <v>860.57249999999999</v>
      </c>
      <c r="V525" s="207">
        <f>ROUND((K525*I525+1.3*K525*M525+R525*F525),4)</f>
        <v>69.569999999999993</v>
      </c>
      <c r="W525" s="207">
        <f>ROUND((L525*I525+1.3*L525*M525+R525*F525),4)</f>
        <v>69.569999999999993</v>
      </c>
      <c r="X525" s="207">
        <f>ROUND((L525*I525+1.3*L525*M525+R525*F525),4)</f>
        <v>69.569999999999993</v>
      </c>
      <c r="Y525" s="385">
        <f>ROUND((O525*S525*E525*N525/1000000),4)</f>
        <v>0.1489</v>
      </c>
      <c r="Z525" s="385">
        <f>ROUND((P525*T525*E525*N525/1000000),4)</f>
        <v>0</v>
      </c>
      <c r="AA525" s="385">
        <f>ROUND((Q525*U525*E525*N525/1000000),4)</f>
        <v>0</v>
      </c>
      <c r="AB525" s="931" t="s">
        <v>48</v>
      </c>
      <c r="AC525" s="932" t="s">
        <v>49</v>
      </c>
      <c r="AD525" s="933">
        <f>ROUND((((W525*D525)/1800)*0.8),4)</f>
        <v>3.09E-2</v>
      </c>
      <c r="AE525" s="933">
        <f>ROUND(((Y525+Z525+AA525)*0.8),4)</f>
        <v>0.1191</v>
      </c>
      <c r="AF525" s="61"/>
      <c r="AG525" s="61"/>
      <c r="AH525" s="61"/>
      <c r="AI525" s="61"/>
    </row>
    <row r="526" spans="1:35" s="417" customFormat="1" ht="15" customHeight="1" x14ac:dyDescent="0.2">
      <c r="A526" s="552" t="s">
        <v>492</v>
      </c>
      <c r="B526" s="399" t="s">
        <v>359</v>
      </c>
      <c r="C526" s="387"/>
      <c r="D526" s="209"/>
      <c r="E526" s="209"/>
      <c r="F526" s="209"/>
      <c r="G526" s="209"/>
      <c r="H526" s="209"/>
      <c r="I526" s="209"/>
      <c r="J526" s="209"/>
      <c r="K526" s="209"/>
      <c r="L526" s="209"/>
      <c r="M526" s="209"/>
      <c r="N526" s="209"/>
      <c r="O526" s="209"/>
      <c r="P526" s="209"/>
      <c r="Q526" s="209"/>
      <c r="R526" s="388"/>
      <c r="S526" s="215"/>
      <c r="T526" s="215"/>
      <c r="U526" s="215"/>
      <c r="V526" s="215"/>
      <c r="W526" s="215"/>
      <c r="X526" s="215"/>
      <c r="Y526" s="215"/>
      <c r="Z526" s="215"/>
      <c r="AA526" s="215"/>
      <c r="AB526" s="931" t="s">
        <v>51</v>
      </c>
      <c r="AC526" s="932" t="s">
        <v>52</v>
      </c>
      <c r="AD526" s="933">
        <f>ROUND((((W525*D525)/1800)*0.13),4)</f>
        <v>5.0000000000000001E-3</v>
      </c>
      <c r="AE526" s="933">
        <f>ROUND(((Y525+Z525+AA525)*0.13),4)</f>
        <v>1.9400000000000001E-2</v>
      </c>
      <c r="AF526" s="61"/>
      <c r="AG526" s="61"/>
      <c r="AH526" s="61"/>
      <c r="AI526" s="61"/>
    </row>
    <row r="527" spans="1:35" s="417" customFormat="1" ht="15" customHeight="1" x14ac:dyDescent="0.2">
      <c r="A527" s="558"/>
      <c r="B527" s="387" t="s">
        <v>360</v>
      </c>
      <c r="C527" s="389"/>
      <c r="D527" s="209"/>
      <c r="E527" s="209"/>
      <c r="F527" s="209"/>
      <c r="G527" s="209"/>
      <c r="H527" s="209"/>
      <c r="I527" s="209"/>
      <c r="J527" s="209"/>
      <c r="K527" s="209">
        <v>0.19</v>
      </c>
      <c r="L527" s="209">
        <v>0.23</v>
      </c>
      <c r="M527" s="209"/>
      <c r="N527" s="209"/>
      <c r="O527" s="209"/>
      <c r="P527" s="209"/>
      <c r="Q527" s="209"/>
      <c r="R527" s="133">
        <v>9.7000000000000003E-2</v>
      </c>
      <c r="S527" s="207">
        <f>ROUND((K527*H525+1.3*K527*J525+R527*G525),4)</f>
        <v>69.802499999999995</v>
      </c>
      <c r="T527" s="207">
        <f>ROUND((L527*0.9*H525+1.3*L527*0.9*J525+R527*G525),4)</f>
        <v>75.527299999999997</v>
      </c>
      <c r="U527" s="207">
        <f>ROUND((L527*H525+1.3*L527*J525+R527*G525),4)</f>
        <v>83.272499999999994</v>
      </c>
      <c r="V527" s="207">
        <f>ROUND((K527*I525+1.3*K527*M525+R527*F525),4)</f>
        <v>5.7119999999999997</v>
      </c>
      <c r="W527" s="207">
        <f>ROUND((L527*0.9*I525+1.3*L527*0.9*M525+R527*F525),4)</f>
        <v>6.1710000000000003</v>
      </c>
      <c r="X527" s="207">
        <f>ROUND((L527*I525+1.3*L527*M525+R527*F525),4)</f>
        <v>6.7919999999999998</v>
      </c>
      <c r="Y527" s="385">
        <f>ROUND((O525*S527*E525*N525/1000000),4)</f>
        <v>1.21E-2</v>
      </c>
      <c r="Z527" s="385">
        <f>ROUND((P525*T527*E525*N525/1000000),4)</f>
        <v>0</v>
      </c>
      <c r="AA527" s="385">
        <f>ROUND((Q525*U527*E525*N525/1000000),4)</f>
        <v>0</v>
      </c>
      <c r="AB527" s="931" t="s">
        <v>56</v>
      </c>
      <c r="AC527" s="932" t="s">
        <v>57</v>
      </c>
      <c r="AD527" s="933">
        <f>ROUND((((W527*D525)/1800)),4)</f>
        <v>3.3999999999999998E-3</v>
      </c>
      <c r="AE527" s="933">
        <f>ROUND(((Y527+Z527+AA527)),5)</f>
        <v>1.21E-2</v>
      </c>
      <c r="AF527" s="61"/>
      <c r="AG527" s="61"/>
      <c r="AH527" s="61"/>
      <c r="AI527" s="61"/>
    </row>
    <row r="528" spans="1:35" s="417" customFormat="1" ht="15" customHeight="1" x14ac:dyDescent="0.2">
      <c r="A528" s="558"/>
      <c r="B528" s="387"/>
      <c r="C528" s="387"/>
      <c r="D528" s="209"/>
      <c r="E528" s="209"/>
      <c r="F528" s="209"/>
      <c r="G528" s="209"/>
      <c r="H528" s="209"/>
      <c r="I528" s="209"/>
      <c r="J528" s="209"/>
      <c r="K528" s="209">
        <v>0.43</v>
      </c>
      <c r="L528" s="209">
        <v>0.51</v>
      </c>
      <c r="M528" s="209"/>
      <c r="N528" s="209"/>
      <c r="O528" s="209"/>
      <c r="P528" s="209"/>
      <c r="Q528" s="209"/>
      <c r="R528" s="133">
        <v>0.3</v>
      </c>
      <c r="S528" s="207">
        <f>ROUND((K528*H525+1.3*K528*J525+R528*G525),4)</f>
        <v>162.80250000000001</v>
      </c>
      <c r="T528" s="207">
        <f>ROUND((L528*0.9*H525+1.3*L528*0.9*J525+R528*G525),4)</f>
        <v>172.56829999999999</v>
      </c>
      <c r="U528" s="207">
        <f>ROUND((L528*H525+1.3*L528*J525+R528*G525),4)</f>
        <v>189.74250000000001</v>
      </c>
      <c r="V528" s="207">
        <f>ROUND((K528*I525+1.3*K528*M525+R528*F525),4)</f>
        <v>13.41</v>
      </c>
      <c r="W528" s="207">
        <f>ROUND((L528*0.9*I525+1.3*L528*0.9*M525+R528*F525),4)</f>
        <v>14.193</v>
      </c>
      <c r="X528" s="207">
        <f>ROUND((L528*I525+1.3*M525+R528*F525),4)</f>
        <v>21.94</v>
      </c>
      <c r="Y528" s="385">
        <f>ROUND((O525*S528*E525*N525/1000000),4)</f>
        <v>2.8199999999999999E-2</v>
      </c>
      <c r="Z528" s="385">
        <f>ROUND((P525*T528*E525*N525/1000000),4)</f>
        <v>0</v>
      </c>
      <c r="AA528" s="385">
        <f>ROUND((Q525*U528*E525*N525/1000000),4)</f>
        <v>0</v>
      </c>
      <c r="AB528" s="931" t="s">
        <v>177</v>
      </c>
      <c r="AC528" s="932" t="s">
        <v>178</v>
      </c>
      <c r="AD528" s="933">
        <f>ROUND((((W528*D525)/1800)),4)</f>
        <v>7.9000000000000008E-3</v>
      </c>
      <c r="AE528" s="933">
        <f>ROUND(((Y528+Z528+AA528)),4)</f>
        <v>2.8199999999999999E-2</v>
      </c>
      <c r="AF528" s="61"/>
      <c r="AG528" s="61"/>
      <c r="AH528" s="61"/>
      <c r="AI528" s="61"/>
    </row>
    <row r="529" spans="1:35" s="417" customFormat="1" ht="15" customHeight="1" x14ac:dyDescent="0.2">
      <c r="A529" s="558"/>
      <c r="B529" s="387"/>
      <c r="C529" s="387"/>
      <c r="D529" s="209"/>
      <c r="E529" s="209"/>
      <c r="F529" s="209"/>
      <c r="G529" s="209"/>
      <c r="H529" s="209"/>
      <c r="I529" s="209"/>
      <c r="J529" s="209"/>
      <c r="K529" s="209">
        <v>0.27</v>
      </c>
      <c r="L529" s="209">
        <v>0.41</v>
      </c>
      <c r="M529" s="209"/>
      <c r="N529" s="209"/>
      <c r="O529" s="209"/>
      <c r="P529" s="209"/>
      <c r="Q529" s="209"/>
      <c r="R529" s="133">
        <v>0.06</v>
      </c>
      <c r="S529" s="207">
        <f>ROUND((K529*H525+1.3*K529*J525+R529*G525),4)</f>
        <v>94.522499999999994</v>
      </c>
      <c r="T529" s="207">
        <f>ROUND((L529*0.9*H525+1.3*L529*0.9*J525+R529*G525),4)</f>
        <v>127.8608</v>
      </c>
      <c r="U529" s="207">
        <f>ROUND((L529*H525+1.3*L529*J525+R529*G525),4)</f>
        <v>141.66749999999999</v>
      </c>
      <c r="V529" s="207">
        <f>ROUND((K529*I525+1.3*K529*M525+R529*F525),4)</f>
        <v>7.65</v>
      </c>
      <c r="W529" s="207">
        <f>ROUND((L529*0.9*I525+1.3*L529*0.9*M525+R529*F525),4)</f>
        <v>10.323</v>
      </c>
      <c r="X529" s="207">
        <f>ROUND((L529*I525+1.3*L529*M525+R529*F525),4)</f>
        <v>11.43</v>
      </c>
      <c r="Y529" s="385">
        <f>ROUND((O525*S529*E525*N525/1000000),4)</f>
        <v>1.6400000000000001E-2</v>
      </c>
      <c r="Z529" s="385">
        <f>ROUND((P525*T529*E525*N525/1000000),4)</f>
        <v>0</v>
      </c>
      <c r="AA529" s="385">
        <f>ROUND((Q525*U529*E525*N525/1000000),4)</f>
        <v>0</v>
      </c>
      <c r="AB529" s="931" t="s">
        <v>61</v>
      </c>
      <c r="AC529" s="932" t="s">
        <v>62</v>
      </c>
      <c r="AD529" s="933">
        <f>ROUND((((W529*D525)/1800)),4)</f>
        <v>5.7000000000000002E-3</v>
      </c>
      <c r="AE529" s="933">
        <f>ROUND(((Y529+Z529+AA529)),4)</f>
        <v>1.6400000000000001E-2</v>
      </c>
      <c r="AF529" s="61"/>
      <c r="AG529" s="61"/>
      <c r="AH529" s="61"/>
      <c r="AI529" s="61"/>
    </row>
    <row r="530" spans="1:35" s="417" customFormat="1" ht="15" customHeight="1" x14ac:dyDescent="0.2">
      <c r="A530" s="563"/>
      <c r="B530" s="214"/>
      <c r="C530" s="214"/>
      <c r="D530" s="210"/>
      <c r="E530" s="210"/>
      <c r="F530" s="210"/>
      <c r="G530" s="210"/>
      <c r="H530" s="210"/>
      <c r="I530" s="210"/>
      <c r="J530" s="210"/>
      <c r="K530" s="210">
        <v>1.29</v>
      </c>
      <c r="L530" s="210">
        <v>1.57</v>
      </c>
      <c r="M530" s="210"/>
      <c r="N530" s="210"/>
      <c r="O530" s="210"/>
      <c r="P530" s="210"/>
      <c r="Q530" s="210"/>
      <c r="R530" s="133">
        <v>2.4</v>
      </c>
      <c r="S530" s="134">
        <f>ROUND((K530*H525+1.3*K530*J525+R530*G525),4)</f>
        <v>578.40750000000003</v>
      </c>
      <c r="T530" s="134">
        <f>ROUND((L530*0.9*H525+1.3*L530*0.9*J525+R530*G525),4)</f>
        <v>619.82780000000002</v>
      </c>
      <c r="U530" s="134">
        <f>ROUND((L530*H525+1.3*L530*J525+R530*G525),4)</f>
        <v>672.69749999999999</v>
      </c>
      <c r="V530" s="134">
        <f>ROUND((K530*I525+1.3*K530*M525+R530*F525),4)</f>
        <v>49.23</v>
      </c>
      <c r="W530" s="134">
        <f>ROUND((L530*0.9*I525+1.3*L530*0.9*M525+R530*F525),4)</f>
        <v>52.551000000000002</v>
      </c>
      <c r="X530" s="134">
        <f>ROUND((L530*I525+1.3*L530*M525+R530*F525),4)</f>
        <v>56.79</v>
      </c>
      <c r="Y530" s="394">
        <f>ROUND((O525*S530*E525*N525/1000000),4)</f>
        <v>0.10009999999999999</v>
      </c>
      <c r="Z530" s="394">
        <f>ROUND((P525*T530*E525*N525/1000000),4)</f>
        <v>0</v>
      </c>
      <c r="AA530" s="394">
        <f>ROUND((Q525*U530*E525*N525/1000000),4)</f>
        <v>0</v>
      </c>
      <c r="AB530" s="931" t="s">
        <v>65</v>
      </c>
      <c r="AC530" s="932" t="s">
        <v>66</v>
      </c>
      <c r="AD530" s="933">
        <f>ROUND((((W530*D525)/1800)),4)</f>
        <v>2.92E-2</v>
      </c>
      <c r="AE530" s="933">
        <f>ROUND(((Y530+Z530+AA530)),4)</f>
        <v>0.10009999999999999</v>
      </c>
      <c r="AF530" s="61">
        <f>SUM(AD525:AD530)</f>
        <v>8.2100000000000006E-2</v>
      </c>
      <c r="AG530" s="61">
        <f>SUM(AE525:AE530)</f>
        <v>0.29530000000000001</v>
      </c>
      <c r="AH530" s="61"/>
      <c r="AI530" s="61"/>
    </row>
    <row r="531" spans="1:35" s="417" customFormat="1" ht="15" customHeight="1" x14ac:dyDescent="0.2">
      <c r="A531" s="1449" t="s">
        <v>691</v>
      </c>
      <c r="B531" s="1450"/>
      <c r="C531" s="1451"/>
      <c r="D531" s="1451"/>
      <c r="E531" s="1451"/>
      <c r="F531" s="1451"/>
      <c r="G531" s="1451"/>
      <c r="H531" s="1451"/>
      <c r="I531" s="1451"/>
      <c r="J531" s="1451"/>
      <c r="K531" s="1451"/>
      <c r="L531" s="1451"/>
      <c r="M531" s="1451"/>
      <c r="N531" s="1451"/>
      <c r="O531" s="1451"/>
      <c r="P531" s="1451"/>
      <c r="Q531" s="1451"/>
      <c r="R531" s="1451"/>
      <c r="S531" s="1451"/>
      <c r="T531" s="1451"/>
      <c r="U531" s="1451"/>
      <c r="V531" s="1451"/>
      <c r="W531" s="1451"/>
      <c r="X531" s="1451"/>
      <c r="Y531" s="1451"/>
      <c r="Z531" s="1451"/>
      <c r="AA531" s="1451"/>
      <c r="AB531" s="1451"/>
      <c r="AC531" s="1451"/>
      <c r="AD531" s="1451"/>
      <c r="AE531" s="1452"/>
      <c r="AF531" s="61"/>
      <c r="AG531" s="61"/>
      <c r="AH531" s="61"/>
      <c r="AI531" s="61"/>
    </row>
    <row r="532" spans="1:35" s="417" customFormat="1" ht="15" customHeight="1" x14ac:dyDescent="0.2">
      <c r="A532" s="551" t="s">
        <v>539</v>
      </c>
      <c r="B532" s="398" t="s">
        <v>343</v>
      </c>
      <c r="C532" s="212">
        <v>4</v>
      </c>
      <c r="D532" s="170">
        <v>1</v>
      </c>
      <c r="E532" s="170">
        <v>1</v>
      </c>
      <c r="F532" s="170">
        <v>6</v>
      </c>
      <c r="G532" s="170">
        <v>60</v>
      </c>
      <c r="H532" s="170">
        <f>(8-1-0.75*2)*60*E532-J532-8*0.12*60</f>
        <v>57.900000000000006</v>
      </c>
      <c r="I532" s="170">
        <v>14</v>
      </c>
      <c r="J532" s="170">
        <f>(8-1-0.75*2)*0.65*60*E532</f>
        <v>214.5</v>
      </c>
      <c r="K532" s="170">
        <v>2.4700000000000002</v>
      </c>
      <c r="L532" s="170">
        <v>2.4700000000000002</v>
      </c>
      <c r="M532" s="170">
        <v>10</v>
      </c>
      <c r="N532" s="170">
        <f>D532/E532</f>
        <v>1</v>
      </c>
      <c r="O532" s="170">
        <v>180</v>
      </c>
      <c r="P532" s="170">
        <v>90</v>
      </c>
      <c r="Q532" s="211">
        <v>95</v>
      </c>
      <c r="R532" s="170">
        <v>0.48</v>
      </c>
      <c r="S532" s="207">
        <f>ROUND((K532*H532+1.3*K532*J532+R532*G532),4)</f>
        <v>860.57249999999999</v>
      </c>
      <c r="T532" s="207">
        <f>ROUND((L532*H532+1.3*L532*J532+R532*G532),4)</f>
        <v>860.57249999999999</v>
      </c>
      <c r="U532" s="207">
        <f>ROUND((L532*H532+1.3*L532*J532+R532*G532),4)</f>
        <v>860.57249999999999</v>
      </c>
      <c r="V532" s="207">
        <f>ROUND((K532*I532+1.3*K532*M532+R532*F532),4)</f>
        <v>69.569999999999993</v>
      </c>
      <c r="W532" s="207">
        <f>ROUND((L532*I532+1.3*L532*M532+R532*F532),4)</f>
        <v>69.569999999999993</v>
      </c>
      <c r="X532" s="207">
        <f>ROUND((L532*I532+1.3*L532*M532+R532*F532),4)</f>
        <v>69.569999999999993</v>
      </c>
      <c r="Y532" s="385">
        <f>ROUND((O532*S532*E532*N532/1000000),4)</f>
        <v>0.15490000000000001</v>
      </c>
      <c r="Z532" s="385">
        <f>ROUND((P532*T532*E532*N532/1000000),4)</f>
        <v>7.7499999999999999E-2</v>
      </c>
      <c r="AA532" s="385">
        <f>ROUND((Q532*U532*E532*N532/1000000),4)</f>
        <v>8.1799999999999998E-2</v>
      </c>
      <c r="AB532" s="931" t="s">
        <v>48</v>
      </c>
      <c r="AC532" s="932" t="s">
        <v>49</v>
      </c>
      <c r="AD532" s="933">
        <f>ROUND((((W532*D532)/1800)*0.8),4)</f>
        <v>3.09E-2</v>
      </c>
      <c r="AE532" s="933">
        <f>ROUND(((Y532+Z532+AA532)*0.8),4)</f>
        <v>0.25140000000000001</v>
      </c>
      <c r="AF532" s="61"/>
      <c r="AG532" s="61"/>
      <c r="AH532" s="61"/>
      <c r="AI532" s="61"/>
    </row>
    <row r="533" spans="1:35" s="417" customFormat="1" ht="15" customHeight="1" x14ac:dyDescent="0.2">
      <c r="A533" s="552" t="s">
        <v>492</v>
      </c>
      <c r="B533" s="399" t="s">
        <v>359</v>
      </c>
      <c r="C533" s="387"/>
      <c r="D533" s="209"/>
      <c r="E533" s="209"/>
      <c r="F533" s="209"/>
      <c r="G533" s="209"/>
      <c r="H533" s="209"/>
      <c r="I533" s="209"/>
      <c r="J533" s="209"/>
      <c r="K533" s="209"/>
      <c r="L533" s="209"/>
      <c r="M533" s="209"/>
      <c r="N533" s="209"/>
      <c r="O533" s="209"/>
      <c r="P533" s="209"/>
      <c r="Q533" s="209"/>
      <c r="R533" s="388"/>
      <c r="S533" s="215"/>
      <c r="T533" s="215"/>
      <c r="U533" s="215"/>
      <c r="V533" s="215"/>
      <c r="W533" s="215"/>
      <c r="X533" s="215"/>
      <c r="Y533" s="215"/>
      <c r="Z533" s="215"/>
      <c r="AA533" s="215"/>
      <c r="AB533" s="931" t="s">
        <v>51</v>
      </c>
      <c r="AC533" s="932" t="s">
        <v>52</v>
      </c>
      <c r="AD533" s="933">
        <f>ROUND((((W532*D532)/1800)*0.13),4)</f>
        <v>5.0000000000000001E-3</v>
      </c>
      <c r="AE533" s="933">
        <f>ROUND(((Y532+Z532+AA532)*0.13),4)</f>
        <v>4.0800000000000003E-2</v>
      </c>
      <c r="AF533" s="61"/>
      <c r="AG533" s="61"/>
      <c r="AH533" s="61"/>
      <c r="AI533" s="61"/>
    </row>
    <row r="534" spans="1:35" s="417" customFormat="1" ht="15" customHeight="1" x14ac:dyDescent="0.2">
      <c r="A534" s="558"/>
      <c r="B534" s="387" t="s">
        <v>360</v>
      </c>
      <c r="C534" s="389"/>
      <c r="D534" s="209"/>
      <c r="E534" s="209"/>
      <c r="F534" s="209"/>
      <c r="G534" s="209"/>
      <c r="H534" s="209"/>
      <c r="I534" s="209"/>
      <c r="J534" s="209"/>
      <c r="K534" s="209">
        <v>0.19</v>
      </c>
      <c r="L534" s="209">
        <v>0.23</v>
      </c>
      <c r="M534" s="209"/>
      <c r="N534" s="209"/>
      <c r="O534" s="209"/>
      <c r="P534" s="209"/>
      <c r="Q534" s="209"/>
      <c r="R534" s="133">
        <v>9.7000000000000003E-2</v>
      </c>
      <c r="S534" s="207">
        <f>ROUND((K534*H532+1.3*K534*J532+R534*G532),4)</f>
        <v>69.802499999999995</v>
      </c>
      <c r="T534" s="207">
        <f>ROUND((L534*0.9*H532+1.3*L534*0.9*J532+R534*G532),4)</f>
        <v>75.527299999999997</v>
      </c>
      <c r="U534" s="207">
        <f>ROUND((L534*H532+1.3*L534*J532+R534*G532),4)</f>
        <v>83.272499999999994</v>
      </c>
      <c r="V534" s="207">
        <f>ROUND((K534*I532+1.3*K534*M532+R534*F532),4)</f>
        <v>5.7119999999999997</v>
      </c>
      <c r="W534" s="207">
        <f>ROUND((L534*0.9*I532+1.3*L534*0.9*M532+R534*F532),4)</f>
        <v>6.1710000000000003</v>
      </c>
      <c r="X534" s="207">
        <f>ROUND((L534*I532+1.3*L534*M532+R534*F532),4)</f>
        <v>6.7919999999999998</v>
      </c>
      <c r="Y534" s="385">
        <f>ROUND((O532*S534*E532*N532/1000000),4)</f>
        <v>1.26E-2</v>
      </c>
      <c r="Z534" s="385">
        <f>ROUND((P532*T534*E532*N532/1000000),4)</f>
        <v>6.7999999999999996E-3</v>
      </c>
      <c r="AA534" s="385">
        <f>ROUND((Q532*U534*E532*N532/1000000),4)</f>
        <v>7.9000000000000008E-3</v>
      </c>
      <c r="AB534" s="931" t="s">
        <v>56</v>
      </c>
      <c r="AC534" s="932" t="s">
        <v>57</v>
      </c>
      <c r="AD534" s="933">
        <f>ROUND((((W534*D532)/1800)),4)</f>
        <v>3.3999999999999998E-3</v>
      </c>
      <c r="AE534" s="933">
        <f>ROUND(((Y534+Z534+AA534)),5)</f>
        <v>2.7300000000000001E-2</v>
      </c>
      <c r="AF534" s="61"/>
      <c r="AG534" s="61"/>
      <c r="AH534" s="61"/>
      <c r="AI534" s="61"/>
    </row>
    <row r="535" spans="1:35" s="417" customFormat="1" ht="15" customHeight="1" x14ac:dyDescent="0.2">
      <c r="A535" s="558"/>
      <c r="B535" s="387"/>
      <c r="C535" s="387"/>
      <c r="D535" s="209"/>
      <c r="E535" s="209"/>
      <c r="F535" s="209"/>
      <c r="G535" s="209"/>
      <c r="H535" s="209"/>
      <c r="I535" s="209"/>
      <c r="J535" s="209"/>
      <c r="K535" s="209">
        <v>0.43</v>
      </c>
      <c r="L535" s="209">
        <v>0.51</v>
      </c>
      <c r="M535" s="209"/>
      <c r="N535" s="209"/>
      <c r="O535" s="209"/>
      <c r="P535" s="209"/>
      <c r="Q535" s="209"/>
      <c r="R535" s="133">
        <v>0.3</v>
      </c>
      <c r="S535" s="207">
        <f>ROUND((K535*H532+1.3*K535*J532+R535*G532),4)</f>
        <v>162.80250000000001</v>
      </c>
      <c r="T535" s="207">
        <f>ROUND((L535*0.9*H532+1.3*L535*0.9*J532+R535*G532),4)</f>
        <v>172.56829999999999</v>
      </c>
      <c r="U535" s="207">
        <f>ROUND((L535*H532+1.3*L535*J532+R535*G532),4)</f>
        <v>189.74250000000001</v>
      </c>
      <c r="V535" s="207">
        <f>ROUND((K535*I532+1.3*K535*M532+R535*F532),4)</f>
        <v>13.41</v>
      </c>
      <c r="W535" s="207">
        <f>ROUND((L535*0.9*I532+1.3*L535*0.9*M532+R535*F532),4)</f>
        <v>14.193</v>
      </c>
      <c r="X535" s="207">
        <f>ROUND((L535*I532+1.3*M532+R535*F532),4)</f>
        <v>21.94</v>
      </c>
      <c r="Y535" s="385">
        <f>ROUND((O532*S535*E532*N532/1000000),4)</f>
        <v>2.93E-2</v>
      </c>
      <c r="Z535" s="385">
        <f>ROUND((P532*T535*E532*N532/1000000),4)</f>
        <v>1.55E-2</v>
      </c>
      <c r="AA535" s="385">
        <f>ROUND((Q532*U535*E532*N532/1000000),4)</f>
        <v>1.7999999999999999E-2</v>
      </c>
      <c r="AB535" s="931" t="s">
        <v>177</v>
      </c>
      <c r="AC535" s="932" t="s">
        <v>178</v>
      </c>
      <c r="AD535" s="933">
        <f>ROUND((((W535*D532)/1800)),4)</f>
        <v>7.9000000000000008E-3</v>
      </c>
      <c r="AE535" s="933">
        <f>ROUND(((Y535+Z535+AA535)),4)</f>
        <v>6.2799999999999995E-2</v>
      </c>
      <c r="AF535" s="61"/>
      <c r="AG535" s="61"/>
      <c r="AH535" s="61"/>
      <c r="AI535" s="61"/>
    </row>
    <row r="536" spans="1:35" s="417" customFormat="1" ht="15" customHeight="1" x14ac:dyDescent="0.2">
      <c r="A536" s="558"/>
      <c r="B536" s="387"/>
      <c r="C536" s="387"/>
      <c r="D536" s="209"/>
      <c r="E536" s="209"/>
      <c r="F536" s="209"/>
      <c r="G536" s="209"/>
      <c r="H536" s="209"/>
      <c r="I536" s="209"/>
      <c r="J536" s="209"/>
      <c r="K536" s="209">
        <v>0.27</v>
      </c>
      <c r="L536" s="209">
        <v>0.41</v>
      </c>
      <c r="M536" s="209"/>
      <c r="N536" s="209"/>
      <c r="O536" s="209"/>
      <c r="P536" s="209"/>
      <c r="Q536" s="209"/>
      <c r="R536" s="133">
        <v>0.06</v>
      </c>
      <c r="S536" s="207">
        <f>ROUND((K536*H532+1.3*K536*J532+R536*G532),4)</f>
        <v>94.522499999999994</v>
      </c>
      <c r="T536" s="207">
        <f>ROUND((L536*0.9*H532+1.3*L536*0.9*J532+R536*G532),4)</f>
        <v>127.8608</v>
      </c>
      <c r="U536" s="207">
        <f>ROUND((L536*H532+1.3*L536*J532+R536*G532),4)</f>
        <v>141.66749999999999</v>
      </c>
      <c r="V536" s="207">
        <f>ROUND((K536*I532+1.3*K536*M532+R536*F532),4)</f>
        <v>7.65</v>
      </c>
      <c r="W536" s="207">
        <f>ROUND((L536*0.9*I532+1.3*L536*0.9*M532+R536*F532),4)</f>
        <v>10.323</v>
      </c>
      <c r="X536" s="207">
        <f>ROUND((L536*I532+1.3*L536*M532+R536*F532),4)</f>
        <v>11.43</v>
      </c>
      <c r="Y536" s="385">
        <f>ROUND((O532*S536*E532*N532/1000000),4)</f>
        <v>1.7000000000000001E-2</v>
      </c>
      <c r="Z536" s="385">
        <f>ROUND((P532*T536*E532*N532/1000000),4)</f>
        <v>1.15E-2</v>
      </c>
      <c r="AA536" s="385">
        <f>ROUND((Q532*U536*E532*N532/1000000),4)</f>
        <v>1.35E-2</v>
      </c>
      <c r="AB536" s="931" t="s">
        <v>61</v>
      </c>
      <c r="AC536" s="932" t="s">
        <v>62</v>
      </c>
      <c r="AD536" s="933">
        <f>ROUND((((W536*D532)/1800)),4)</f>
        <v>5.7000000000000002E-3</v>
      </c>
      <c r="AE536" s="933">
        <f>ROUND(((Y536+Z536+AA536)),4)</f>
        <v>4.2000000000000003E-2</v>
      </c>
      <c r="AF536" s="61"/>
      <c r="AG536" s="61"/>
      <c r="AH536" s="61"/>
      <c r="AI536" s="61"/>
    </row>
    <row r="537" spans="1:35" s="417" customFormat="1" ht="15" customHeight="1" x14ac:dyDescent="0.2">
      <c r="A537" s="563"/>
      <c r="B537" s="214"/>
      <c r="C537" s="214"/>
      <c r="D537" s="210"/>
      <c r="E537" s="210"/>
      <c r="F537" s="210"/>
      <c r="G537" s="210"/>
      <c r="H537" s="210"/>
      <c r="I537" s="210"/>
      <c r="J537" s="210"/>
      <c r="K537" s="210">
        <v>1.29</v>
      </c>
      <c r="L537" s="210">
        <v>1.57</v>
      </c>
      <c r="M537" s="210"/>
      <c r="N537" s="210"/>
      <c r="O537" s="210"/>
      <c r="P537" s="210"/>
      <c r="Q537" s="210"/>
      <c r="R537" s="133">
        <v>2.4</v>
      </c>
      <c r="S537" s="134">
        <f>ROUND((K537*H532+1.3*K537*J532+R537*G532),4)</f>
        <v>578.40750000000003</v>
      </c>
      <c r="T537" s="134">
        <f>ROUND((L537*0.9*H532+1.3*L537*0.9*J532+R537*G532),4)</f>
        <v>619.82780000000002</v>
      </c>
      <c r="U537" s="134">
        <f>ROUND((L537*H532+1.3*L537*J532+R537*G532),4)</f>
        <v>672.69749999999999</v>
      </c>
      <c r="V537" s="134">
        <f>ROUND((K537*I532+1.3*K537*M532+R537*F532),4)</f>
        <v>49.23</v>
      </c>
      <c r="W537" s="134">
        <f>ROUND((L537*0.9*I532+1.3*L537*0.9*M532+R537*F532),4)</f>
        <v>52.551000000000002</v>
      </c>
      <c r="X537" s="134">
        <f>ROUND((L537*I532+1.3*L537*M532+R537*F532),4)</f>
        <v>56.79</v>
      </c>
      <c r="Y537" s="394">
        <f>ROUND((O532*S537*E532*N532/1000000),4)</f>
        <v>0.1041</v>
      </c>
      <c r="Z537" s="394">
        <f>ROUND((P532*T537*E532*N532/1000000),4)</f>
        <v>5.5800000000000002E-2</v>
      </c>
      <c r="AA537" s="394">
        <f>ROUND((Q532*U537*E532*N532/1000000),4)</f>
        <v>6.3899999999999998E-2</v>
      </c>
      <c r="AB537" s="931" t="s">
        <v>65</v>
      </c>
      <c r="AC537" s="932" t="s">
        <v>66</v>
      </c>
      <c r="AD537" s="933">
        <f>ROUND((((W537*D532)/1800)),4)</f>
        <v>2.92E-2</v>
      </c>
      <c r="AE537" s="933">
        <f>ROUND(((Y537+Z537+AA537)),4)</f>
        <v>0.2238</v>
      </c>
      <c r="AF537" s="61">
        <f>SUM(AD532:AD537)</f>
        <v>8.2100000000000006E-2</v>
      </c>
      <c r="AG537" s="61">
        <f>SUM(AE532:AE537)</f>
        <v>0.6480999999999999</v>
      </c>
      <c r="AH537" s="61"/>
      <c r="AI537" s="61"/>
    </row>
    <row r="538" spans="1:35" s="417" customFormat="1" ht="15" customHeight="1" x14ac:dyDescent="0.2">
      <c r="A538" s="1449" t="s">
        <v>692</v>
      </c>
      <c r="B538" s="1450"/>
      <c r="C538" s="1451"/>
      <c r="D538" s="1451"/>
      <c r="E538" s="1451"/>
      <c r="F538" s="1451"/>
      <c r="G538" s="1451"/>
      <c r="H538" s="1451"/>
      <c r="I538" s="1451"/>
      <c r="J538" s="1451"/>
      <c r="K538" s="1451"/>
      <c r="L538" s="1451"/>
      <c r="M538" s="1451"/>
      <c r="N538" s="1451"/>
      <c r="O538" s="1451"/>
      <c r="P538" s="1451"/>
      <c r="Q538" s="1451"/>
      <c r="R538" s="1451"/>
      <c r="S538" s="1451"/>
      <c r="T538" s="1451"/>
      <c r="U538" s="1451"/>
      <c r="V538" s="1451"/>
      <c r="W538" s="1451"/>
      <c r="X538" s="1451"/>
      <c r="Y538" s="1451"/>
      <c r="Z538" s="1451"/>
      <c r="AA538" s="1451"/>
      <c r="AB538" s="1451"/>
      <c r="AC538" s="1451"/>
      <c r="AD538" s="1451"/>
      <c r="AE538" s="1452"/>
      <c r="AF538" s="61"/>
      <c r="AG538" s="61"/>
      <c r="AH538" s="61"/>
      <c r="AI538" s="61"/>
    </row>
    <row r="539" spans="1:35" s="417" customFormat="1" ht="15" customHeight="1" x14ac:dyDescent="0.2">
      <c r="A539" s="551" t="s">
        <v>541</v>
      </c>
      <c r="B539" s="398" t="s">
        <v>343</v>
      </c>
      <c r="C539" s="212">
        <v>4</v>
      </c>
      <c r="D539" s="170">
        <v>1</v>
      </c>
      <c r="E539" s="170">
        <v>1</v>
      </c>
      <c r="F539" s="170">
        <v>6</v>
      </c>
      <c r="G539" s="170">
        <v>60</v>
      </c>
      <c r="H539" s="170">
        <f>(8-1-0.75*2)*60*E539-J539-8*0.12*60</f>
        <v>57.900000000000006</v>
      </c>
      <c r="I539" s="170">
        <v>14</v>
      </c>
      <c r="J539" s="170">
        <f>(8-1-0.75*2)*0.65*60*E539</f>
        <v>214.5</v>
      </c>
      <c r="K539" s="170">
        <v>2.4700000000000002</v>
      </c>
      <c r="L539" s="170">
        <v>2.4700000000000002</v>
      </c>
      <c r="M539" s="170">
        <v>10</v>
      </c>
      <c r="N539" s="170">
        <f>D539/E539</f>
        <v>1</v>
      </c>
      <c r="O539" s="170">
        <v>180</v>
      </c>
      <c r="P539" s="170">
        <v>90</v>
      </c>
      <c r="Q539" s="211">
        <v>95</v>
      </c>
      <c r="R539" s="170">
        <v>0.48</v>
      </c>
      <c r="S539" s="207">
        <f>ROUND((K539*H539+1.3*K539*J539+R539*G539),4)</f>
        <v>860.57249999999999</v>
      </c>
      <c r="T539" s="207">
        <f>ROUND((L539*H539+1.3*L539*J539+R539*G539),4)</f>
        <v>860.57249999999999</v>
      </c>
      <c r="U539" s="207">
        <f>ROUND((L539*H539+1.3*L539*J539+R539*G539),4)</f>
        <v>860.57249999999999</v>
      </c>
      <c r="V539" s="207">
        <f>ROUND((K539*I539+1.3*K539*M539+R539*F539),4)</f>
        <v>69.569999999999993</v>
      </c>
      <c r="W539" s="207">
        <f>ROUND((L539*I539+1.3*L539*M539+R539*F539),4)</f>
        <v>69.569999999999993</v>
      </c>
      <c r="X539" s="207">
        <f>ROUND((L539*I539+1.3*L539*M539+R539*F539),4)</f>
        <v>69.569999999999993</v>
      </c>
      <c r="Y539" s="385">
        <f>ROUND((O539*S539*E539*N539/1000000),4)</f>
        <v>0.15490000000000001</v>
      </c>
      <c r="Z539" s="385">
        <f>ROUND((P539*T539*E539*N539/1000000),4)</f>
        <v>7.7499999999999999E-2</v>
      </c>
      <c r="AA539" s="385">
        <f>ROUND((Q539*U539*E539*N539/1000000),4)</f>
        <v>8.1799999999999998E-2</v>
      </c>
      <c r="AB539" s="931" t="s">
        <v>48</v>
      </c>
      <c r="AC539" s="932" t="s">
        <v>49</v>
      </c>
      <c r="AD539" s="933">
        <f>ROUND((((W539*D539)/1800)*0.8),4)</f>
        <v>3.09E-2</v>
      </c>
      <c r="AE539" s="933">
        <f>ROUND(((Y539+Z539+AA539)*0.8),4)</f>
        <v>0.25140000000000001</v>
      </c>
      <c r="AF539" s="61"/>
      <c r="AG539" s="61"/>
      <c r="AH539" s="61"/>
      <c r="AI539" s="61"/>
    </row>
    <row r="540" spans="1:35" s="417" customFormat="1" ht="15" customHeight="1" x14ac:dyDescent="0.2">
      <c r="A540" s="552" t="s">
        <v>492</v>
      </c>
      <c r="B540" s="399" t="s">
        <v>359</v>
      </c>
      <c r="C540" s="387"/>
      <c r="D540" s="209"/>
      <c r="E540" s="209"/>
      <c r="F540" s="209"/>
      <c r="G540" s="209"/>
      <c r="H540" s="209"/>
      <c r="I540" s="209"/>
      <c r="J540" s="209"/>
      <c r="K540" s="209"/>
      <c r="L540" s="209"/>
      <c r="M540" s="209"/>
      <c r="N540" s="209"/>
      <c r="O540" s="209"/>
      <c r="P540" s="209"/>
      <c r="Q540" s="209"/>
      <c r="R540" s="388"/>
      <c r="S540" s="215"/>
      <c r="T540" s="215"/>
      <c r="U540" s="215"/>
      <c r="V540" s="215"/>
      <c r="W540" s="215"/>
      <c r="X540" s="215"/>
      <c r="Y540" s="215"/>
      <c r="Z540" s="215"/>
      <c r="AA540" s="215"/>
      <c r="AB540" s="931" t="s">
        <v>51</v>
      </c>
      <c r="AC540" s="932" t="s">
        <v>52</v>
      </c>
      <c r="AD540" s="933">
        <f>ROUND((((W539*D539)/1800)*0.13),4)</f>
        <v>5.0000000000000001E-3</v>
      </c>
      <c r="AE540" s="933">
        <f>ROUND(((Y539+Z539+AA539)*0.13),4)</f>
        <v>4.0800000000000003E-2</v>
      </c>
      <c r="AF540" s="61"/>
      <c r="AG540" s="61"/>
      <c r="AH540" s="61"/>
      <c r="AI540" s="61"/>
    </row>
    <row r="541" spans="1:35" s="417" customFormat="1" ht="15" customHeight="1" x14ac:dyDescent="0.2">
      <c r="A541" s="558"/>
      <c r="B541" s="387" t="s">
        <v>360</v>
      </c>
      <c r="C541" s="389"/>
      <c r="D541" s="209"/>
      <c r="E541" s="209"/>
      <c r="F541" s="209"/>
      <c r="G541" s="209"/>
      <c r="H541" s="209"/>
      <c r="I541" s="209"/>
      <c r="J541" s="209"/>
      <c r="K541" s="209">
        <v>0.19</v>
      </c>
      <c r="L541" s="209">
        <v>0.23</v>
      </c>
      <c r="M541" s="209"/>
      <c r="N541" s="209"/>
      <c r="O541" s="209"/>
      <c r="P541" s="209"/>
      <c r="Q541" s="209"/>
      <c r="R541" s="133">
        <v>9.7000000000000003E-2</v>
      </c>
      <c r="S541" s="207">
        <f>ROUND((K541*H539+1.3*K541*J539+R541*G539),4)</f>
        <v>69.802499999999995</v>
      </c>
      <c r="T541" s="207">
        <f>ROUND((L541*0.9*H539+1.3*L541*0.9*J539+R541*G539),4)</f>
        <v>75.527299999999997</v>
      </c>
      <c r="U541" s="207">
        <f>ROUND((L541*H539+1.3*L541*J539+R541*G539),4)</f>
        <v>83.272499999999994</v>
      </c>
      <c r="V541" s="207">
        <f>ROUND((K541*I539+1.3*K541*M539+R541*F539),4)</f>
        <v>5.7119999999999997</v>
      </c>
      <c r="W541" s="207">
        <f>ROUND((L541*0.9*I539+1.3*L541*0.9*M539+R541*F539),4)</f>
        <v>6.1710000000000003</v>
      </c>
      <c r="X541" s="207">
        <f>ROUND((L541*I539+1.3*L541*M539+R541*F539),4)</f>
        <v>6.7919999999999998</v>
      </c>
      <c r="Y541" s="385">
        <f>ROUND((O539*S541*E539*N539/1000000),4)</f>
        <v>1.26E-2</v>
      </c>
      <c r="Z541" s="385">
        <f>ROUND((P539*T541*E539*N539/1000000),4)</f>
        <v>6.7999999999999996E-3</v>
      </c>
      <c r="AA541" s="385">
        <f>ROUND((Q539*U541*E539*N539/1000000),4)</f>
        <v>7.9000000000000008E-3</v>
      </c>
      <c r="AB541" s="931" t="s">
        <v>56</v>
      </c>
      <c r="AC541" s="932" t="s">
        <v>57</v>
      </c>
      <c r="AD541" s="933">
        <f>ROUND((((W541*D539)/1800)),4)</f>
        <v>3.3999999999999998E-3</v>
      </c>
      <c r="AE541" s="933">
        <f>ROUND(((Y541+Z541+AA541)),5)</f>
        <v>2.7300000000000001E-2</v>
      </c>
      <c r="AF541" s="61"/>
      <c r="AG541" s="61"/>
      <c r="AH541" s="61"/>
      <c r="AI541" s="61"/>
    </row>
    <row r="542" spans="1:35" s="417" customFormat="1" ht="15" customHeight="1" x14ac:dyDescent="0.2">
      <c r="A542" s="558"/>
      <c r="B542" s="387"/>
      <c r="C542" s="387"/>
      <c r="D542" s="209"/>
      <c r="E542" s="209"/>
      <c r="F542" s="209"/>
      <c r="G542" s="209"/>
      <c r="H542" s="209"/>
      <c r="I542" s="209"/>
      <c r="J542" s="209"/>
      <c r="K542" s="209">
        <v>0.43</v>
      </c>
      <c r="L542" s="209">
        <v>0.51</v>
      </c>
      <c r="M542" s="209"/>
      <c r="N542" s="209"/>
      <c r="O542" s="209"/>
      <c r="P542" s="209"/>
      <c r="Q542" s="209"/>
      <c r="R542" s="133">
        <v>0.3</v>
      </c>
      <c r="S542" s="207">
        <f>ROUND((K542*H539+1.3*K542*J539+R542*G539),4)</f>
        <v>162.80250000000001</v>
      </c>
      <c r="T542" s="207">
        <f>ROUND((L542*0.9*H539+1.3*L542*0.9*J539+R542*G539),4)</f>
        <v>172.56829999999999</v>
      </c>
      <c r="U542" s="207">
        <f>ROUND((L542*H539+1.3*L542*J539+R542*G539),4)</f>
        <v>189.74250000000001</v>
      </c>
      <c r="V542" s="207">
        <f>ROUND((K542*I539+1.3*K542*M539+R542*F539),4)</f>
        <v>13.41</v>
      </c>
      <c r="W542" s="207">
        <f>ROUND((L542*0.9*I539+1.3*L542*0.9*M539+R542*F539),4)</f>
        <v>14.193</v>
      </c>
      <c r="X542" s="207">
        <f>ROUND((L542*I539+1.3*M539+R542*F539),4)</f>
        <v>21.94</v>
      </c>
      <c r="Y542" s="385">
        <f>ROUND((O539*S542*E539*N539/1000000),4)</f>
        <v>2.93E-2</v>
      </c>
      <c r="Z542" s="385">
        <f>ROUND((P539*T542*E539*N539/1000000),4)</f>
        <v>1.55E-2</v>
      </c>
      <c r="AA542" s="385">
        <f>ROUND((Q539*U542*E539*N539/1000000),4)</f>
        <v>1.7999999999999999E-2</v>
      </c>
      <c r="AB542" s="931" t="s">
        <v>177</v>
      </c>
      <c r="AC542" s="932" t="s">
        <v>178</v>
      </c>
      <c r="AD542" s="933">
        <f>ROUND((((W542*D539)/1800)),4)</f>
        <v>7.9000000000000008E-3</v>
      </c>
      <c r="AE542" s="933">
        <f>ROUND(((Y542+Z542+AA542)),4)</f>
        <v>6.2799999999999995E-2</v>
      </c>
      <c r="AF542" s="61"/>
      <c r="AG542" s="61"/>
      <c r="AH542" s="61"/>
      <c r="AI542" s="61"/>
    </row>
    <row r="543" spans="1:35" s="417" customFormat="1" ht="15" customHeight="1" x14ac:dyDescent="0.2">
      <c r="A543" s="558"/>
      <c r="B543" s="387"/>
      <c r="C543" s="387"/>
      <c r="D543" s="209"/>
      <c r="E543" s="209"/>
      <c r="F543" s="209"/>
      <c r="G543" s="209"/>
      <c r="H543" s="209"/>
      <c r="I543" s="209"/>
      <c r="J543" s="209"/>
      <c r="K543" s="209">
        <v>0.27</v>
      </c>
      <c r="L543" s="209">
        <v>0.41</v>
      </c>
      <c r="M543" s="209"/>
      <c r="N543" s="209"/>
      <c r="O543" s="209"/>
      <c r="P543" s="209"/>
      <c r="Q543" s="209"/>
      <c r="R543" s="133">
        <v>0.06</v>
      </c>
      <c r="S543" s="207">
        <f>ROUND((K543*H539+1.3*K543*J539+R543*G539),4)</f>
        <v>94.522499999999994</v>
      </c>
      <c r="T543" s="207">
        <f>ROUND((L543*0.9*H539+1.3*L543*0.9*J539+R543*G539),4)</f>
        <v>127.8608</v>
      </c>
      <c r="U543" s="207">
        <f>ROUND((L543*H539+1.3*L543*J539+R543*G539),4)</f>
        <v>141.66749999999999</v>
      </c>
      <c r="V543" s="207">
        <f>ROUND((K543*I539+1.3*K543*M539+R543*F539),4)</f>
        <v>7.65</v>
      </c>
      <c r="W543" s="207">
        <f>ROUND((L543*0.9*I539+1.3*L543*0.9*M539+R543*F539),4)</f>
        <v>10.323</v>
      </c>
      <c r="X543" s="207">
        <f>ROUND((L543*I539+1.3*L543*M539+R543*F539),4)</f>
        <v>11.43</v>
      </c>
      <c r="Y543" s="385">
        <f>ROUND((O539*S543*E539*N539/1000000),4)</f>
        <v>1.7000000000000001E-2</v>
      </c>
      <c r="Z543" s="385">
        <f>ROUND((P539*T543*E539*N539/1000000),4)</f>
        <v>1.15E-2</v>
      </c>
      <c r="AA543" s="385">
        <f>ROUND((Q539*U543*E539*N539/1000000),4)</f>
        <v>1.35E-2</v>
      </c>
      <c r="AB543" s="931" t="s">
        <v>61</v>
      </c>
      <c r="AC543" s="932" t="s">
        <v>62</v>
      </c>
      <c r="AD543" s="933">
        <f>ROUND((((W543*D539)/1800)),4)</f>
        <v>5.7000000000000002E-3</v>
      </c>
      <c r="AE543" s="933">
        <f>ROUND(((Y543+Z543+AA543)),4)</f>
        <v>4.2000000000000003E-2</v>
      </c>
      <c r="AF543" s="61"/>
      <c r="AG543" s="61"/>
      <c r="AH543" s="61"/>
      <c r="AI543" s="61"/>
    </row>
    <row r="544" spans="1:35" s="417" customFormat="1" ht="15" customHeight="1" x14ac:dyDescent="0.2">
      <c r="A544" s="563"/>
      <c r="B544" s="214"/>
      <c r="C544" s="214"/>
      <c r="D544" s="210"/>
      <c r="E544" s="210"/>
      <c r="F544" s="210"/>
      <c r="G544" s="210"/>
      <c r="H544" s="210"/>
      <c r="I544" s="210"/>
      <c r="J544" s="210"/>
      <c r="K544" s="210">
        <v>1.29</v>
      </c>
      <c r="L544" s="210">
        <v>1.57</v>
      </c>
      <c r="M544" s="210"/>
      <c r="N544" s="210"/>
      <c r="O544" s="210"/>
      <c r="P544" s="210"/>
      <c r="Q544" s="210"/>
      <c r="R544" s="133">
        <v>2.4</v>
      </c>
      <c r="S544" s="134">
        <f>ROUND((K544*H539+1.3*K544*J539+R544*G539),4)</f>
        <v>578.40750000000003</v>
      </c>
      <c r="T544" s="134">
        <f>ROUND((L544*0.9*H539+1.3*L544*0.9*J539+R544*G539),4)</f>
        <v>619.82780000000002</v>
      </c>
      <c r="U544" s="134">
        <f>ROUND((L544*H539+1.3*L544*J539+R544*G539),4)</f>
        <v>672.69749999999999</v>
      </c>
      <c r="V544" s="134">
        <f>ROUND((K544*I539+1.3*K544*M539+R544*F539),4)</f>
        <v>49.23</v>
      </c>
      <c r="W544" s="134">
        <f>ROUND((L544*0.9*I539+1.3*L544*0.9*M539+R544*F539),4)</f>
        <v>52.551000000000002</v>
      </c>
      <c r="X544" s="134">
        <f>ROUND((L544*I539+1.3*L544*M539+R544*F539),4)</f>
        <v>56.79</v>
      </c>
      <c r="Y544" s="394">
        <f>ROUND((O539*S544*E539*N539/1000000),4)</f>
        <v>0.1041</v>
      </c>
      <c r="Z544" s="394">
        <f>ROUND((P539*T544*E539*N539/1000000),4)</f>
        <v>5.5800000000000002E-2</v>
      </c>
      <c r="AA544" s="394">
        <f>ROUND((Q539*U544*E539*N539/1000000),4)</f>
        <v>6.3899999999999998E-2</v>
      </c>
      <c r="AB544" s="931" t="s">
        <v>65</v>
      </c>
      <c r="AC544" s="932" t="s">
        <v>66</v>
      </c>
      <c r="AD544" s="933">
        <f>ROUND((((W544*D539)/1800)),4)</f>
        <v>2.92E-2</v>
      </c>
      <c r="AE544" s="933">
        <f>ROUND(((Y544+Z544+AA544)),4)</f>
        <v>0.2238</v>
      </c>
      <c r="AF544" s="61">
        <f>SUM(AD539:AD544)</f>
        <v>8.2100000000000006E-2</v>
      </c>
      <c r="AG544" s="61">
        <f>SUM(AE539:AE544)</f>
        <v>0.6480999999999999</v>
      </c>
      <c r="AH544" s="61"/>
      <c r="AI544" s="61"/>
    </row>
    <row r="545" spans="1:35" s="417" customFormat="1" ht="15" customHeight="1" x14ac:dyDescent="0.2">
      <c r="A545" s="1449" t="s">
        <v>694</v>
      </c>
      <c r="B545" s="1450"/>
      <c r="C545" s="1451"/>
      <c r="D545" s="1451"/>
      <c r="E545" s="1451"/>
      <c r="F545" s="1451"/>
      <c r="G545" s="1451"/>
      <c r="H545" s="1451"/>
      <c r="I545" s="1451"/>
      <c r="J545" s="1451"/>
      <c r="K545" s="1451"/>
      <c r="L545" s="1451"/>
      <c r="M545" s="1451"/>
      <c r="N545" s="1451"/>
      <c r="O545" s="1451"/>
      <c r="P545" s="1451"/>
      <c r="Q545" s="1451"/>
      <c r="R545" s="1451"/>
      <c r="S545" s="1451"/>
      <c r="T545" s="1451"/>
      <c r="U545" s="1451"/>
      <c r="V545" s="1451"/>
      <c r="W545" s="1451"/>
      <c r="X545" s="1451"/>
      <c r="Y545" s="1451"/>
      <c r="Z545" s="1451"/>
      <c r="AA545" s="1451"/>
      <c r="AB545" s="1451"/>
      <c r="AC545" s="1451"/>
      <c r="AD545" s="1451"/>
      <c r="AE545" s="1452"/>
      <c r="AF545" s="61"/>
      <c r="AG545" s="61"/>
      <c r="AH545" s="61"/>
      <c r="AI545" s="61"/>
    </row>
    <row r="546" spans="1:35" s="417" customFormat="1" ht="15" customHeight="1" x14ac:dyDescent="0.2">
      <c r="A546" s="551" t="s">
        <v>542</v>
      </c>
      <c r="B546" s="398" t="s">
        <v>343</v>
      </c>
      <c r="C546" s="212">
        <v>4</v>
      </c>
      <c r="D546" s="170">
        <v>1</v>
      </c>
      <c r="E546" s="170">
        <v>1</v>
      </c>
      <c r="F546" s="170">
        <v>6</v>
      </c>
      <c r="G546" s="170">
        <v>60</v>
      </c>
      <c r="H546" s="170">
        <f>(8-1-0.75*2)*60*E546-J546-8*0.12*60</f>
        <v>57.900000000000006</v>
      </c>
      <c r="I546" s="170">
        <v>14</v>
      </c>
      <c r="J546" s="170">
        <f>(8-1-0.75*2)*0.65*60*E546</f>
        <v>214.5</v>
      </c>
      <c r="K546" s="170">
        <v>2.4700000000000002</v>
      </c>
      <c r="L546" s="170">
        <v>2.4700000000000002</v>
      </c>
      <c r="M546" s="170">
        <v>10</v>
      </c>
      <c r="N546" s="170">
        <f>D546/E546</f>
        <v>1</v>
      </c>
      <c r="O546" s="170">
        <v>180</v>
      </c>
      <c r="P546" s="170">
        <v>90</v>
      </c>
      <c r="Q546" s="211">
        <v>95</v>
      </c>
      <c r="R546" s="170">
        <v>0.48</v>
      </c>
      <c r="S546" s="207">
        <f>ROUND((K546*H546+1.3*K546*J546+R546*G546),4)</f>
        <v>860.57249999999999</v>
      </c>
      <c r="T546" s="207">
        <f>ROUND((L546*H546+1.3*L546*J546+R546*G546),4)</f>
        <v>860.57249999999999</v>
      </c>
      <c r="U546" s="207">
        <f>ROUND((L546*H546+1.3*L546*J546+R546*G546),4)</f>
        <v>860.57249999999999</v>
      </c>
      <c r="V546" s="207">
        <f>ROUND((K546*I546+1.3*K546*M546+R546*F546),4)</f>
        <v>69.569999999999993</v>
      </c>
      <c r="W546" s="207">
        <f>ROUND((L546*I546+1.3*L546*M546+R546*F546),4)</f>
        <v>69.569999999999993</v>
      </c>
      <c r="X546" s="207">
        <f>ROUND((L546*I546+1.3*L546*M546+R546*F546),4)</f>
        <v>69.569999999999993</v>
      </c>
      <c r="Y546" s="385">
        <f>ROUND((O546*S546*E546*N546/1000000),4)</f>
        <v>0.15490000000000001</v>
      </c>
      <c r="Z546" s="385">
        <f>ROUND((P546*T546*E546*N546/1000000),4)</f>
        <v>7.7499999999999999E-2</v>
      </c>
      <c r="AA546" s="385">
        <f>ROUND((Q546*U546*E546*N546/1000000),4)</f>
        <v>8.1799999999999998E-2</v>
      </c>
      <c r="AB546" s="931" t="s">
        <v>48</v>
      </c>
      <c r="AC546" s="932" t="s">
        <v>49</v>
      </c>
      <c r="AD546" s="933">
        <f>ROUND((((W546*D546)/1800)*0.8),4)</f>
        <v>3.09E-2</v>
      </c>
      <c r="AE546" s="933">
        <f>ROUND(((Y546+Z546+AA546)*0.8),4)</f>
        <v>0.25140000000000001</v>
      </c>
      <c r="AF546" s="61"/>
      <c r="AG546" s="61"/>
      <c r="AH546" s="61"/>
      <c r="AI546" s="61"/>
    </row>
    <row r="547" spans="1:35" s="417" customFormat="1" ht="15" customHeight="1" x14ac:dyDescent="0.2">
      <c r="A547" s="552" t="s">
        <v>492</v>
      </c>
      <c r="B547" s="399" t="s">
        <v>359</v>
      </c>
      <c r="C547" s="387"/>
      <c r="D547" s="209"/>
      <c r="E547" s="209"/>
      <c r="F547" s="209"/>
      <c r="G547" s="209"/>
      <c r="H547" s="209"/>
      <c r="I547" s="209"/>
      <c r="J547" s="209"/>
      <c r="K547" s="209"/>
      <c r="L547" s="209"/>
      <c r="M547" s="209"/>
      <c r="N547" s="209"/>
      <c r="O547" s="209"/>
      <c r="P547" s="209"/>
      <c r="Q547" s="209"/>
      <c r="R547" s="388"/>
      <c r="S547" s="215"/>
      <c r="T547" s="215"/>
      <c r="U547" s="215"/>
      <c r="V547" s="215"/>
      <c r="W547" s="215"/>
      <c r="X547" s="215"/>
      <c r="Y547" s="215"/>
      <c r="Z547" s="215"/>
      <c r="AA547" s="215"/>
      <c r="AB547" s="931" t="s">
        <v>51</v>
      </c>
      <c r="AC547" s="932" t="s">
        <v>52</v>
      </c>
      <c r="AD547" s="933">
        <f>ROUND((((W546*D546)/1800)*0.13),4)</f>
        <v>5.0000000000000001E-3</v>
      </c>
      <c r="AE547" s="933">
        <f>ROUND(((Y546+Z546+AA546)*0.13),4)</f>
        <v>4.0800000000000003E-2</v>
      </c>
      <c r="AF547" s="61"/>
      <c r="AG547" s="61"/>
      <c r="AH547" s="61"/>
      <c r="AI547" s="61"/>
    </row>
    <row r="548" spans="1:35" s="417" customFormat="1" ht="15" customHeight="1" x14ac:dyDescent="0.2">
      <c r="A548" s="558"/>
      <c r="B548" s="387" t="s">
        <v>360</v>
      </c>
      <c r="C548" s="389"/>
      <c r="D548" s="209"/>
      <c r="E548" s="209"/>
      <c r="F548" s="209"/>
      <c r="G548" s="209"/>
      <c r="H548" s="209"/>
      <c r="I548" s="209"/>
      <c r="J548" s="209"/>
      <c r="K548" s="209">
        <v>0.19</v>
      </c>
      <c r="L548" s="209">
        <v>0.23</v>
      </c>
      <c r="M548" s="209"/>
      <c r="N548" s="209"/>
      <c r="O548" s="209"/>
      <c r="P548" s="209"/>
      <c r="Q548" s="209"/>
      <c r="R548" s="133">
        <v>9.7000000000000003E-2</v>
      </c>
      <c r="S548" s="207">
        <f>ROUND((K548*H546+1.3*K548*J546+R548*G546),4)</f>
        <v>69.802499999999995</v>
      </c>
      <c r="T548" s="207">
        <f>ROUND((L548*0.9*H546+1.3*L548*0.9*J546+R548*G546),4)</f>
        <v>75.527299999999997</v>
      </c>
      <c r="U548" s="207">
        <f>ROUND((L548*H546+1.3*L548*J546+R548*G546),4)</f>
        <v>83.272499999999994</v>
      </c>
      <c r="V548" s="207">
        <f>ROUND((K548*I546+1.3*K548*M546+R548*F546),4)</f>
        <v>5.7119999999999997</v>
      </c>
      <c r="W548" s="207">
        <f>ROUND((L548*0.9*I546+1.3*L548*0.9*M546+R548*F546),4)</f>
        <v>6.1710000000000003</v>
      </c>
      <c r="X548" s="207">
        <f>ROUND((L548*I546+1.3*L548*M546+R548*F546),4)</f>
        <v>6.7919999999999998</v>
      </c>
      <c r="Y548" s="385">
        <f>ROUND((O546*S548*E546*N546/1000000),4)</f>
        <v>1.26E-2</v>
      </c>
      <c r="Z548" s="385">
        <f>ROUND((P546*T548*E546*N546/1000000),4)</f>
        <v>6.7999999999999996E-3</v>
      </c>
      <c r="AA548" s="385">
        <f>ROUND((Q546*U548*E546*N546/1000000),4)</f>
        <v>7.9000000000000008E-3</v>
      </c>
      <c r="AB548" s="931" t="s">
        <v>56</v>
      </c>
      <c r="AC548" s="932" t="s">
        <v>57</v>
      </c>
      <c r="AD548" s="933">
        <f>ROUND((((W548*D546)/1800)),4)</f>
        <v>3.3999999999999998E-3</v>
      </c>
      <c r="AE548" s="933">
        <f>ROUND(((Y548+Z548+AA548)),5)</f>
        <v>2.7300000000000001E-2</v>
      </c>
      <c r="AF548" s="61"/>
      <c r="AG548" s="61"/>
      <c r="AH548" s="61"/>
      <c r="AI548" s="61"/>
    </row>
    <row r="549" spans="1:35" s="417" customFormat="1" ht="15" customHeight="1" x14ac:dyDescent="0.2">
      <c r="A549" s="558"/>
      <c r="B549" s="387"/>
      <c r="C549" s="387"/>
      <c r="D549" s="209"/>
      <c r="E549" s="209"/>
      <c r="F549" s="209"/>
      <c r="G549" s="209"/>
      <c r="H549" s="209"/>
      <c r="I549" s="209"/>
      <c r="J549" s="209"/>
      <c r="K549" s="209">
        <v>0.43</v>
      </c>
      <c r="L549" s="209">
        <v>0.51</v>
      </c>
      <c r="M549" s="209"/>
      <c r="N549" s="209"/>
      <c r="O549" s="209"/>
      <c r="P549" s="209"/>
      <c r="Q549" s="209"/>
      <c r="R549" s="133">
        <v>0.3</v>
      </c>
      <c r="S549" s="207">
        <f>ROUND((K549*H546+1.3*K549*J546+R549*G546),4)</f>
        <v>162.80250000000001</v>
      </c>
      <c r="T549" s="207">
        <f>ROUND((L549*0.9*H546+1.3*L549*0.9*J546+R549*G546),4)</f>
        <v>172.56829999999999</v>
      </c>
      <c r="U549" s="207">
        <f>ROUND((L549*H546+1.3*L549*J546+R549*G546),4)</f>
        <v>189.74250000000001</v>
      </c>
      <c r="V549" s="207">
        <f>ROUND((K549*I546+1.3*K549*M546+R549*F546),4)</f>
        <v>13.41</v>
      </c>
      <c r="W549" s="207">
        <f>ROUND((L549*0.9*I546+1.3*L549*0.9*M546+R549*F546),4)</f>
        <v>14.193</v>
      </c>
      <c r="X549" s="207">
        <f>ROUND((L549*I546+1.3*M546+R549*F546),4)</f>
        <v>21.94</v>
      </c>
      <c r="Y549" s="385">
        <f>ROUND((O546*S549*E546*N546/1000000),4)</f>
        <v>2.93E-2</v>
      </c>
      <c r="Z549" s="385">
        <f>ROUND((P546*T549*E546*N546/1000000),4)</f>
        <v>1.55E-2</v>
      </c>
      <c r="AA549" s="385">
        <f>ROUND((Q546*U549*E546*N546/1000000),4)</f>
        <v>1.7999999999999999E-2</v>
      </c>
      <c r="AB549" s="931" t="s">
        <v>177</v>
      </c>
      <c r="AC549" s="932" t="s">
        <v>178</v>
      </c>
      <c r="AD549" s="933">
        <f>ROUND((((W549*D546)/1800)),4)</f>
        <v>7.9000000000000008E-3</v>
      </c>
      <c r="AE549" s="933">
        <f>ROUND(((Y549+Z549+AA549)),4)</f>
        <v>6.2799999999999995E-2</v>
      </c>
      <c r="AF549" s="61"/>
      <c r="AG549" s="61"/>
      <c r="AH549" s="61"/>
      <c r="AI549" s="61"/>
    </row>
    <row r="550" spans="1:35" s="417" customFormat="1" ht="15" customHeight="1" x14ac:dyDescent="0.2">
      <c r="A550" s="558"/>
      <c r="B550" s="387"/>
      <c r="C550" s="387"/>
      <c r="D550" s="209"/>
      <c r="E550" s="209"/>
      <c r="F550" s="209"/>
      <c r="G550" s="209"/>
      <c r="H550" s="209"/>
      <c r="I550" s="209"/>
      <c r="J550" s="209"/>
      <c r="K550" s="209">
        <v>0.27</v>
      </c>
      <c r="L550" s="209">
        <v>0.41</v>
      </c>
      <c r="M550" s="209"/>
      <c r="N550" s="209"/>
      <c r="O550" s="209"/>
      <c r="P550" s="209"/>
      <c r="Q550" s="209"/>
      <c r="R550" s="133">
        <v>0.06</v>
      </c>
      <c r="S550" s="207">
        <f>ROUND((K550*H546+1.3*K550*J546+R550*G546),4)</f>
        <v>94.522499999999994</v>
      </c>
      <c r="T550" s="207">
        <f>ROUND((L550*0.9*H546+1.3*L550*0.9*J546+R550*G546),4)</f>
        <v>127.8608</v>
      </c>
      <c r="U550" s="207">
        <f>ROUND((L550*H546+1.3*L550*J546+R550*G546),4)</f>
        <v>141.66749999999999</v>
      </c>
      <c r="V550" s="207">
        <f>ROUND((K550*I546+1.3*K550*M546+R550*F546),4)</f>
        <v>7.65</v>
      </c>
      <c r="W550" s="207">
        <f>ROUND((L550*0.9*I546+1.3*L550*0.9*M546+R550*F546),4)</f>
        <v>10.323</v>
      </c>
      <c r="X550" s="207">
        <f>ROUND((L550*I546+1.3*L550*M546+R550*F546),4)</f>
        <v>11.43</v>
      </c>
      <c r="Y550" s="385">
        <f>ROUND((O546*S550*E546*N546/1000000),4)</f>
        <v>1.7000000000000001E-2</v>
      </c>
      <c r="Z550" s="385">
        <f>ROUND((P546*T550*E546*N546/1000000),4)</f>
        <v>1.15E-2</v>
      </c>
      <c r="AA550" s="385">
        <f>ROUND((Q546*U550*E546*N546/1000000),4)</f>
        <v>1.35E-2</v>
      </c>
      <c r="AB550" s="931" t="s">
        <v>61</v>
      </c>
      <c r="AC550" s="932" t="s">
        <v>62</v>
      </c>
      <c r="AD550" s="933">
        <f>ROUND((((W550*D546)/1800)),4)</f>
        <v>5.7000000000000002E-3</v>
      </c>
      <c r="AE550" s="933">
        <f>ROUND(((Y550+Z550+AA550)),4)</f>
        <v>4.2000000000000003E-2</v>
      </c>
      <c r="AF550" s="61"/>
      <c r="AG550" s="61"/>
      <c r="AH550" s="61"/>
      <c r="AI550" s="61"/>
    </row>
    <row r="551" spans="1:35" s="417" customFormat="1" ht="15" customHeight="1" x14ac:dyDescent="0.2">
      <c r="A551" s="563"/>
      <c r="B551" s="214"/>
      <c r="C551" s="214"/>
      <c r="D551" s="210"/>
      <c r="E551" s="210"/>
      <c r="F551" s="210"/>
      <c r="G551" s="210"/>
      <c r="H551" s="210"/>
      <c r="I551" s="210"/>
      <c r="J551" s="210"/>
      <c r="K551" s="210">
        <v>1.29</v>
      </c>
      <c r="L551" s="210">
        <v>1.57</v>
      </c>
      <c r="M551" s="210"/>
      <c r="N551" s="210"/>
      <c r="O551" s="210"/>
      <c r="P551" s="210"/>
      <c r="Q551" s="210"/>
      <c r="R551" s="133">
        <v>2.4</v>
      </c>
      <c r="S551" s="134">
        <f>ROUND((K551*H546+1.3*K551*J546+R551*G546),4)</f>
        <v>578.40750000000003</v>
      </c>
      <c r="T551" s="134">
        <f>ROUND((L551*0.9*H546+1.3*L551*0.9*J546+R551*G546),4)</f>
        <v>619.82780000000002</v>
      </c>
      <c r="U551" s="134">
        <f>ROUND((L551*H546+1.3*L551*J546+R551*G546),4)</f>
        <v>672.69749999999999</v>
      </c>
      <c r="V551" s="134">
        <f>ROUND((K551*I546+1.3*K551*M546+R551*F546),4)</f>
        <v>49.23</v>
      </c>
      <c r="W551" s="134">
        <f>ROUND((L551*0.9*I546+1.3*L551*0.9*M546+R551*F546),4)</f>
        <v>52.551000000000002</v>
      </c>
      <c r="X551" s="134">
        <f>ROUND((L551*I546+1.3*L551*M546+R551*F546),4)</f>
        <v>56.79</v>
      </c>
      <c r="Y551" s="394">
        <f>ROUND((O546*S551*E546*N546/1000000),4)</f>
        <v>0.1041</v>
      </c>
      <c r="Z551" s="394">
        <f>ROUND((P546*T551*E546*N546/1000000),4)</f>
        <v>5.5800000000000002E-2</v>
      </c>
      <c r="AA551" s="394">
        <f>ROUND((Q546*U551*E546*N546/1000000),4)</f>
        <v>6.3899999999999998E-2</v>
      </c>
      <c r="AB551" s="931" t="s">
        <v>65</v>
      </c>
      <c r="AC551" s="932" t="s">
        <v>66</v>
      </c>
      <c r="AD551" s="933">
        <f>ROUND((((W551*D546)/1800)),4)</f>
        <v>2.92E-2</v>
      </c>
      <c r="AE551" s="933">
        <f>ROUND(((Y551+Z551+AA551)),4)</f>
        <v>0.2238</v>
      </c>
      <c r="AF551" s="61">
        <f>SUM(AD546:AD551)</f>
        <v>8.2100000000000006E-2</v>
      </c>
      <c r="AG551" s="61">
        <f>SUM(AE546:AE551)</f>
        <v>0.6480999999999999</v>
      </c>
      <c r="AH551" s="61"/>
      <c r="AI551" s="61"/>
    </row>
    <row r="552" spans="1:35" s="417" customFormat="1" ht="15" customHeight="1" x14ac:dyDescent="0.2">
      <c r="A552" s="1449" t="s">
        <v>696</v>
      </c>
      <c r="B552" s="1450"/>
      <c r="C552" s="1451"/>
      <c r="D552" s="1451"/>
      <c r="E552" s="1451"/>
      <c r="F552" s="1451"/>
      <c r="G552" s="1451"/>
      <c r="H552" s="1451"/>
      <c r="I552" s="1451"/>
      <c r="J552" s="1451"/>
      <c r="K552" s="1451"/>
      <c r="L552" s="1451"/>
      <c r="M552" s="1451"/>
      <c r="N552" s="1451"/>
      <c r="O552" s="1451"/>
      <c r="P552" s="1451"/>
      <c r="Q552" s="1451"/>
      <c r="R552" s="1451"/>
      <c r="S552" s="1451"/>
      <c r="T552" s="1451"/>
      <c r="U552" s="1451"/>
      <c r="V552" s="1451"/>
      <c r="W552" s="1451"/>
      <c r="X552" s="1451"/>
      <c r="Y552" s="1451"/>
      <c r="Z552" s="1451"/>
      <c r="AA552" s="1451"/>
      <c r="AB552" s="1451"/>
      <c r="AC552" s="1451"/>
      <c r="AD552" s="1451"/>
      <c r="AE552" s="1452"/>
      <c r="AF552" s="61"/>
      <c r="AG552" s="61"/>
      <c r="AH552" s="61"/>
      <c r="AI552" s="61"/>
    </row>
    <row r="553" spans="1:35" s="417" customFormat="1" ht="15" customHeight="1" x14ac:dyDescent="0.2">
      <c r="A553" s="551" t="s">
        <v>544</v>
      </c>
      <c r="B553" s="398" t="s">
        <v>343</v>
      </c>
      <c r="C553" s="212">
        <v>4</v>
      </c>
      <c r="D553" s="170">
        <v>1</v>
      </c>
      <c r="E553" s="170">
        <v>1</v>
      </c>
      <c r="F553" s="170">
        <v>6</v>
      </c>
      <c r="G553" s="170">
        <v>60</v>
      </c>
      <c r="H553" s="170">
        <f>(8-1-0.75*2)*60*E553-J553-8*0.12*60</f>
        <v>57.900000000000006</v>
      </c>
      <c r="I553" s="170">
        <v>14</v>
      </c>
      <c r="J553" s="170">
        <f>(8-1-0.75*2)*0.65*60*E553</f>
        <v>214.5</v>
      </c>
      <c r="K553" s="170">
        <v>2.4700000000000002</v>
      </c>
      <c r="L553" s="170">
        <v>2.4700000000000002</v>
      </c>
      <c r="M553" s="170">
        <v>10</v>
      </c>
      <c r="N553" s="170">
        <f>D553/E553</f>
        <v>1</v>
      </c>
      <c r="O553" s="170">
        <v>180</v>
      </c>
      <c r="P553" s="170">
        <v>90</v>
      </c>
      <c r="Q553" s="211">
        <v>95</v>
      </c>
      <c r="R553" s="170">
        <v>0.48</v>
      </c>
      <c r="S553" s="207">
        <f>ROUND((K553*H553+1.3*K553*J553+R553*G553),4)</f>
        <v>860.57249999999999</v>
      </c>
      <c r="T553" s="207">
        <f>ROUND((L553*H553+1.3*L553*J553+R553*G553),4)</f>
        <v>860.57249999999999</v>
      </c>
      <c r="U553" s="207">
        <f>ROUND((L553*H553+1.3*L553*J553+R553*G553),4)</f>
        <v>860.57249999999999</v>
      </c>
      <c r="V553" s="207">
        <f>ROUND((K553*I553+1.3*K553*M553+R553*F553),4)</f>
        <v>69.569999999999993</v>
      </c>
      <c r="W553" s="207">
        <f>ROUND((L553*I553+1.3*L553*M553+R553*F553),4)</f>
        <v>69.569999999999993</v>
      </c>
      <c r="X553" s="207">
        <f>ROUND((L553*I553+1.3*L553*M553+R553*F553),4)</f>
        <v>69.569999999999993</v>
      </c>
      <c r="Y553" s="385">
        <f>ROUND((O553*S553*E553*N553/1000000),4)</f>
        <v>0.15490000000000001</v>
      </c>
      <c r="Z553" s="385">
        <f>ROUND((P553*T553*E553*N553/1000000),4)</f>
        <v>7.7499999999999999E-2</v>
      </c>
      <c r="AA553" s="385">
        <f>ROUND((Q553*U553*E553*N553/1000000),4)</f>
        <v>8.1799999999999998E-2</v>
      </c>
      <c r="AB553" s="931" t="s">
        <v>48</v>
      </c>
      <c r="AC553" s="932" t="s">
        <v>49</v>
      </c>
      <c r="AD553" s="933">
        <f>ROUND((((W553*D553)/1800)*0.8),4)</f>
        <v>3.09E-2</v>
      </c>
      <c r="AE553" s="933">
        <f>ROUND(((Y553+Z553+AA553)*0.8),4)</f>
        <v>0.25140000000000001</v>
      </c>
      <c r="AF553" s="61"/>
      <c r="AG553" s="61"/>
      <c r="AH553" s="61"/>
      <c r="AI553" s="61"/>
    </row>
    <row r="554" spans="1:35" s="417" customFormat="1" ht="15" customHeight="1" x14ac:dyDescent="0.2">
      <c r="A554" s="552" t="s">
        <v>492</v>
      </c>
      <c r="B554" s="399" t="s">
        <v>359</v>
      </c>
      <c r="C554" s="387"/>
      <c r="D554" s="209"/>
      <c r="E554" s="209"/>
      <c r="F554" s="209"/>
      <c r="G554" s="209"/>
      <c r="H554" s="209"/>
      <c r="I554" s="209"/>
      <c r="J554" s="209"/>
      <c r="K554" s="209"/>
      <c r="L554" s="209"/>
      <c r="M554" s="209"/>
      <c r="N554" s="209"/>
      <c r="O554" s="209"/>
      <c r="P554" s="209"/>
      <c r="Q554" s="209"/>
      <c r="R554" s="388"/>
      <c r="S554" s="215"/>
      <c r="T554" s="215"/>
      <c r="U554" s="215"/>
      <c r="V554" s="215"/>
      <c r="W554" s="215"/>
      <c r="X554" s="215"/>
      <c r="Y554" s="215"/>
      <c r="Z554" s="215"/>
      <c r="AA554" s="215"/>
      <c r="AB554" s="931" t="s">
        <v>51</v>
      </c>
      <c r="AC554" s="932" t="s">
        <v>52</v>
      </c>
      <c r="AD554" s="933">
        <f>ROUND((((W553*D553)/1800)*0.13),4)</f>
        <v>5.0000000000000001E-3</v>
      </c>
      <c r="AE554" s="933">
        <f>ROUND(((Y553+Z553+AA553)*0.13),4)</f>
        <v>4.0800000000000003E-2</v>
      </c>
      <c r="AF554" s="61"/>
      <c r="AG554" s="61"/>
      <c r="AH554" s="61"/>
      <c r="AI554" s="61"/>
    </row>
    <row r="555" spans="1:35" s="417" customFormat="1" ht="15" customHeight="1" x14ac:dyDescent="0.2">
      <c r="A555" s="558"/>
      <c r="B555" s="387" t="s">
        <v>360</v>
      </c>
      <c r="C555" s="389"/>
      <c r="D555" s="209"/>
      <c r="E555" s="209"/>
      <c r="F555" s="209"/>
      <c r="G555" s="209"/>
      <c r="H555" s="209"/>
      <c r="I555" s="209"/>
      <c r="J555" s="209"/>
      <c r="K555" s="209">
        <v>0.19</v>
      </c>
      <c r="L555" s="209">
        <v>0.23</v>
      </c>
      <c r="M555" s="209"/>
      <c r="N555" s="209"/>
      <c r="O555" s="209"/>
      <c r="P555" s="209"/>
      <c r="Q555" s="209"/>
      <c r="R555" s="133">
        <v>9.7000000000000003E-2</v>
      </c>
      <c r="S555" s="207">
        <f>ROUND((K555*H553+1.3*K555*J553+R555*G553),4)</f>
        <v>69.802499999999995</v>
      </c>
      <c r="T555" s="207">
        <f>ROUND((L555*0.9*H553+1.3*L555*0.9*J553+R555*G553),4)</f>
        <v>75.527299999999997</v>
      </c>
      <c r="U555" s="207">
        <f>ROUND((L555*H553+1.3*L555*J553+R555*G553),4)</f>
        <v>83.272499999999994</v>
      </c>
      <c r="V555" s="207">
        <f>ROUND((K555*I553+1.3*K555*M553+R555*F553),4)</f>
        <v>5.7119999999999997</v>
      </c>
      <c r="W555" s="207">
        <f>ROUND((L555*0.9*I553+1.3*L555*0.9*M553+R555*F553),4)</f>
        <v>6.1710000000000003</v>
      </c>
      <c r="X555" s="207">
        <f>ROUND((L555*I553+1.3*L555*M553+R555*F553),4)</f>
        <v>6.7919999999999998</v>
      </c>
      <c r="Y555" s="385">
        <f>ROUND((O553*S555*E553*N553/1000000),4)</f>
        <v>1.26E-2</v>
      </c>
      <c r="Z555" s="385">
        <f>ROUND((P553*T555*E553*N553/1000000),4)</f>
        <v>6.7999999999999996E-3</v>
      </c>
      <c r="AA555" s="385">
        <f>ROUND((Q553*U555*E553*N553/1000000),4)</f>
        <v>7.9000000000000008E-3</v>
      </c>
      <c r="AB555" s="931" t="s">
        <v>56</v>
      </c>
      <c r="AC555" s="932" t="s">
        <v>57</v>
      </c>
      <c r="AD555" s="933">
        <f>ROUND((((W555*D553)/1800)),4)</f>
        <v>3.3999999999999998E-3</v>
      </c>
      <c r="AE555" s="933">
        <f>ROUND(((Y555+Z555+AA555)),5)</f>
        <v>2.7300000000000001E-2</v>
      </c>
      <c r="AF555" s="61"/>
      <c r="AG555" s="61"/>
      <c r="AH555" s="61"/>
      <c r="AI555" s="61"/>
    </row>
    <row r="556" spans="1:35" s="417" customFormat="1" ht="15" customHeight="1" x14ac:dyDescent="0.2">
      <c r="A556" s="558"/>
      <c r="B556" s="387"/>
      <c r="C556" s="387"/>
      <c r="D556" s="209"/>
      <c r="E556" s="209"/>
      <c r="F556" s="209"/>
      <c r="G556" s="209"/>
      <c r="H556" s="209"/>
      <c r="I556" s="209"/>
      <c r="J556" s="209"/>
      <c r="K556" s="209">
        <v>0.43</v>
      </c>
      <c r="L556" s="209">
        <v>0.51</v>
      </c>
      <c r="M556" s="209"/>
      <c r="N556" s="209"/>
      <c r="O556" s="209"/>
      <c r="P556" s="209"/>
      <c r="Q556" s="209"/>
      <c r="R556" s="133">
        <v>0.3</v>
      </c>
      <c r="S556" s="207">
        <f>ROUND((K556*H553+1.3*K556*J553+R556*G553),4)</f>
        <v>162.80250000000001</v>
      </c>
      <c r="T556" s="207">
        <f>ROUND((L556*0.9*H553+1.3*L556*0.9*J553+R556*G553),4)</f>
        <v>172.56829999999999</v>
      </c>
      <c r="U556" s="207">
        <f>ROUND((L556*H553+1.3*L556*J553+R556*G553),4)</f>
        <v>189.74250000000001</v>
      </c>
      <c r="V556" s="207">
        <f>ROUND((K556*I553+1.3*K556*M553+R556*F553),4)</f>
        <v>13.41</v>
      </c>
      <c r="W556" s="207">
        <f>ROUND((L556*0.9*I553+1.3*L556*0.9*M553+R556*F553),4)</f>
        <v>14.193</v>
      </c>
      <c r="X556" s="207">
        <f>ROUND((L556*I553+1.3*M553+R556*F553),4)</f>
        <v>21.94</v>
      </c>
      <c r="Y556" s="385">
        <f>ROUND((O553*S556*E553*N553/1000000),4)</f>
        <v>2.93E-2</v>
      </c>
      <c r="Z556" s="385">
        <f>ROUND((P553*T556*E553*N553/1000000),4)</f>
        <v>1.55E-2</v>
      </c>
      <c r="AA556" s="385">
        <f>ROUND((Q553*U556*E553*N553/1000000),4)</f>
        <v>1.7999999999999999E-2</v>
      </c>
      <c r="AB556" s="931" t="s">
        <v>177</v>
      </c>
      <c r="AC556" s="932" t="s">
        <v>178</v>
      </c>
      <c r="AD556" s="933">
        <f>ROUND((((W556*D553)/1800)),4)</f>
        <v>7.9000000000000008E-3</v>
      </c>
      <c r="AE556" s="933">
        <f>ROUND(((Y556+Z556+AA556)),4)</f>
        <v>6.2799999999999995E-2</v>
      </c>
      <c r="AF556" s="61"/>
      <c r="AG556" s="61"/>
      <c r="AH556" s="61"/>
      <c r="AI556" s="61"/>
    </row>
    <row r="557" spans="1:35" s="417" customFormat="1" ht="15" customHeight="1" x14ac:dyDescent="0.2">
      <c r="A557" s="558"/>
      <c r="B557" s="387"/>
      <c r="C557" s="387"/>
      <c r="D557" s="209"/>
      <c r="E557" s="209"/>
      <c r="F557" s="209"/>
      <c r="G557" s="209"/>
      <c r="H557" s="209"/>
      <c r="I557" s="209"/>
      <c r="J557" s="209"/>
      <c r="K557" s="209">
        <v>0.27</v>
      </c>
      <c r="L557" s="209">
        <v>0.41</v>
      </c>
      <c r="M557" s="209"/>
      <c r="N557" s="209"/>
      <c r="O557" s="209"/>
      <c r="P557" s="209"/>
      <c r="Q557" s="209"/>
      <c r="R557" s="133">
        <v>0.06</v>
      </c>
      <c r="S557" s="207">
        <f>ROUND((K557*H553+1.3*K557*J553+R557*G553),4)</f>
        <v>94.522499999999994</v>
      </c>
      <c r="T557" s="207">
        <f>ROUND((L557*0.9*H553+1.3*L557*0.9*J553+R557*G553),4)</f>
        <v>127.8608</v>
      </c>
      <c r="U557" s="207">
        <f>ROUND((L557*H553+1.3*L557*J553+R557*G553),4)</f>
        <v>141.66749999999999</v>
      </c>
      <c r="V557" s="207">
        <f>ROUND((K557*I553+1.3*K557*M553+R557*F553),4)</f>
        <v>7.65</v>
      </c>
      <c r="W557" s="207">
        <f>ROUND((L557*0.9*I553+1.3*L557*0.9*M553+R557*F553),4)</f>
        <v>10.323</v>
      </c>
      <c r="X557" s="207">
        <f>ROUND((L557*I553+1.3*L557*M553+R557*F553),4)</f>
        <v>11.43</v>
      </c>
      <c r="Y557" s="385">
        <f>ROUND((O553*S557*E553*N553/1000000),4)</f>
        <v>1.7000000000000001E-2</v>
      </c>
      <c r="Z557" s="385">
        <f>ROUND((P553*T557*E553*N553/1000000),4)</f>
        <v>1.15E-2</v>
      </c>
      <c r="AA557" s="385">
        <f>ROUND((Q553*U557*E553*N553/1000000),4)</f>
        <v>1.35E-2</v>
      </c>
      <c r="AB557" s="931" t="s">
        <v>61</v>
      </c>
      <c r="AC557" s="932" t="s">
        <v>62</v>
      </c>
      <c r="AD557" s="933">
        <f>ROUND((((W557*D553)/1800)),4)</f>
        <v>5.7000000000000002E-3</v>
      </c>
      <c r="AE557" s="933">
        <f>ROUND(((Y557+Z557+AA557)),4)</f>
        <v>4.2000000000000003E-2</v>
      </c>
      <c r="AF557" s="61"/>
      <c r="AG557" s="61"/>
      <c r="AH557" s="61"/>
      <c r="AI557" s="61"/>
    </row>
    <row r="558" spans="1:35" s="417" customFormat="1" ht="15" customHeight="1" x14ac:dyDescent="0.2">
      <c r="A558" s="563"/>
      <c r="B558" s="214"/>
      <c r="C558" s="214"/>
      <c r="D558" s="210"/>
      <c r="E558" s="210"/>
      <c r="F558" s="210"/>
      <c r="G558" s="210"/>
      <c r="H558" s="210"/>
      <c r="I558" s="210"/>
      <c r="J558" s="210"/>
      <c r="K558" s="210">
        <v>1.29</v>
      </c>
      <c r="L558" s="210">
        <v>1.57</v>
      </c>
      <c r="M558" s="210"/>
      <c r="N558" s="210"/>
      <c r="O558" s="210"/>
      <c r="P558" s="210"/>
      <c r="Q558" s="210"/>
      <c r="R558" s="133">
        <v>2.4</v>
      </c>
      <c r="S558" s="134">
        <f>ROUND((K558*H553+1.3*K558*J553+R558*G553),4)</f>
        <v>578.40750000000003</v>
      </c>
      <c r="T558" s="134">
        <f>ROUND((L558*0.9*H553+1.3*L558*0.9*J553+R558*G553),4)</f>
        <v>619.82780000000002</v>
      </c>
      <c r="U558" s="134">
        <f>ROUND((L558*H553+1.3*L558*J553+R558*G553),4)</f>
        <v>672.69749999999999</v>
      </c>
      <c r="V558" s="134">
        <f>ROUND((K558*I553+1.3*K558*M553+R558*F553),4)</f>
        <v>49.23</v>
      </c>
      <c r="W558" s="134">
        <f>ROUND((L558*0.9*I553+1.3*L558*0.9*M553+R558*F553),4)</f>
        <v>52.551000000000002</v>
      </c>
      <c r="X558" s="134">
        <f>ROUND((L558*I553+1.3*L558*M553+R558*F553),4)</f>
        <v>56.79</v>
      </c>
      <c r="Y558" s="394">
        <f>ROUND((O553*S558*E553*N553/1000000),4)</f>
        <v>0.1041</v>
      </c>
      <c r="Z558" s="394">
        <f>ROUND((P553*T558*E553*N553/1000000),4)</f>
        <v>5.5800000000000002E-2</v>
      </c>
      <c r="AA558" s="394">
        <f>ROUND((Q553*U558*E553*N553/1000000),4)</f>
        <v>6.3899999999999998E-2</v>
      </c>
      <c r="AB558" s="931" t="s">
        <v>65</v>
      </c>
      <c r="AC558" s="932" t="s">
        <v>66</v>
      </c>
      <c r="AD558" s="933">
        <f>ROUND((((W558*D553)/1800)),4)</f>
        <v>2.92E-2</v>
      </c>
      <c r="AE558" s="933">
        <f>ROUND(((Y558+Z558+AA558)),4)</f>
        <v>0.2238</v>
      </c>
      <c r="AF558" s="61">
        <f>SUM(AD553:AD558)</f>
        <v>8.2100000000000006E-2</v>
      </c>
      <c r="AG558" s="61">
        <f>SUM(AE553:AE558)</f>
        <v>0.6480999999999999</v>
      </c>
      <c r="AH558" s="61"/>
      <c r="AI558" s="61"/>
    </row>
    <row r="559" spans="1:35" s="417" customFormat="1" ht="15" customHeight="1" x14ac:dyDescent="0.2">
      <c r="A559" s="1449" t="s">
        <v>698</v>
      </c>
      <c r="B559" s="1450"/>
      <c r="C559" s="1451"/>
      <c r="D559" s="1451"/>
      <c r="E559" s="1451"/>
      <c r="F559" s="1451"/>
      <c r="G559" s="1451"/>
      <c r="H559" s="1451"/>
      <c r="I559" s="1451"/>
      <c r="J559" s="1451"/>
      <c r="K559" s="1451"/>
      <c r="L559" s="1451"/>
      <c r="M559" s="1451"/>
      <c r="N559" s="1451"/>
      <c r="O559" s="1451"/>
      <c r="P559" s="1451"/>
      <c r="Q559" s="1451"/>
      <c r="R559" s="1451"/>
      <c r="S559" s="1451"/>
      <c r="T559" s="1451"/>
      <c r="U559" s="1451"/>
      <c r="V559" s="1451"/>
      <c r="W559" s="1451"/>
      <c r="X559" s="1451"/>
      <c r="Y559" s="1451"/>
      <c r="Z559" s="1451"/>
      <c r="AA559" s="1451"/>
      <c r="AB559" s="1451"/>
      <c r="AC559" s="1451"/>
      <c r="AD559" s="1451"/>
      <c r="AE559" s="1452"/>
      <c r="AF559" s="61"/>
      <c r="AG559" s="61"/>
      <c r="AH559" s="61"/>
      <c r="AI559" s="61"/>
    </row>
    <row r="560" spans="1:35" s="417" customFormat="1" ht="15" customHeight="1" x14ac:dyDescent="0.2">
      <c r="A560" s="551" t="s">
        <v>557</v>
      </c>
      <c r="B560" s="398" t="s">
        <v>343</v>
      </c>
      <c r="C560" s="212">
        <v>4</v>
      </c>
      <c r="D560" s="170">
        <v>1</v>
      </c>
      <c r="E560" s="170">
        <v>1</v>
      </c>
      <c r="F560" s="170">
        <v>6</v>
      </c>
      <c r="G560" s="170">
        <v>60</v>
      </c>
      <c r="H560" s="170">
        <f>(8-1-0.75*2)*60*E560-J560-8*0.12*60</f>
        <v>57.900000000000006</v>
      </c>
      <c r="I560" s="170">
        <v>14</v>
      </c>
      <c r="J560" s="170">
        <f>(8-1-0.75*2)*0.65*60*E560</f>
        <v>214.5</v>
      </c>
      <c r="K560" s="170">
        <v>2.4700000000000002</v>
      </c>
      <c r="L560" s="170">
        <v>2.4700000000000002</v>
      </c>
      <c r="M560" s="170">
        <v>10</v>
      </c>
      <c r="N560" s="170">
        <f>D560/E560</f>
        <v>1</v>
      </c>
      <c r="O560" s="170">
        <v>180</v>
      </c>
      <c r="P560" s="170">
        <v>90</v>
      </c>
      <c r="Q560" s="211">
        <v>95</v>
      </c>
      <c r="R560" s="170">
        <v>0.48</v>
      </c>
      <c r="S560" s="207">
        <f>ROUND((K560*H560+1.3*K560*J560+R560*G560),4)</f>
        <v>860.57249999999999</v>
      </c>
      <c r="T560" s="207">
        <f>ROUND((L560*H560+1.3*L560*J560+R560*G560),4)</f>
        <v>860.57249999999999</v>
      </c>
      <c r="U560" s="207">
        <f>ROUND((L560*H560+1.3*L560*J560+R560*G560),4)</f>
        <v>860.57249999999999</v>
      </c>
      <c r="V560" s="207">
        <f>ROUND((K560*I560+1.3*K560*M560+R560*F560),4)</f>
        <v>69.569999999999993</v>
      </c>
      <c r="W560" s="207">
        <f>ROUND((L560*I560+1.3*L560*M560+R560*F560),4)</f>
        <v>69.569999999999993</v>
      </c>
      <c r="X560" s="207">
        <f>ROUND((L560*I560+1.3*L560*M560+R560*F560),4)</f>
        <v>69.569999999999993</v>
      </c>
      <c r="Y560" s="385">
        <f>ROUND((O560*S560*E560*N560/1000000),4)</f>
        <v>0.15490000000000001</v>
      </c>
      <c r="Z560" s="385">
        <f>ROUND((P560*T560*E560*N560/1000000),4)</f>
        <v>7.7499999999999999E-2</v>
      </c>
      <c r="AA560" s="385">
        <f>ROUND((Q560*U560*E560*N560/1000000),4)</f>
        <v>8.1799999999999998E-2</v>
      </c>
      <c r="AB560" s="931" t="s">
        <v>48</v>
      </c>
      <c r="AC560" s="932" t="s">
        <v>49</v>
      </c>
      <c r="AD560" s="933">
        <f>ROUND((((W560*D560)/1800)*0.8),4)</f>
        <v>3.09E-2</v>
      </c>
      <c r="AE560" s="933">
        <f>ROUND(((Y560+Z560+AA560)*0.8),4)</f>
        <v>0.25140000000000001</v>
      </c>
      <c r="AF560" s="61"/>
      <c r="AG560" s="61"/>
      <c r="AH560" s="61"/>
      <c r="AI560" s="61"/>
    </row>
    <row r="561" spans="1:35" s="417" customFormat="1" ht="15" customHeight="1" x14ac:dyDescent="0.2">
      <c r="A561" s="552" t="s">
        <v>492</v>
      </c>
      <c r="B561" s="399" t="s">
        <v>359</v>
      </c>
      <c r="C561" s="387"/>
      <c r="D561" s="209"/>
      <c r="E561" s="209"/>
      <c r="F561" s="209"/>
      <c r="G561" s="209"/>
      <c r="H561" s="209"/>
      <c r="I561" s="209"/>
      <c r="J561" s="209"/>
      <c r="K561" s="209"/>
      <c r="L561" s="209"/>
      <c r="M561" s="209"/>
      <c r="N561" s="209"/>
      <c r="O561" s="209"/>
      <c r="P561" s="209"/>
      <c r="Q561" s="209"/>
      <c r="R561" s="388"/>
      <c r="S561" s="215"/>
      <c r="T561" s="215"/>
      <c r="U561" s="215"/>
      <c r="V561" s="215"/>
      <c r="W561" s="215"/>
      <c r="X561" s="215"/>
      <c r="Y561" s="215"/>
      <c r="Z561" s="215"/>
      <c r="AA561" s="215"/>
      <c r="AB561" s="931" t="s">
        <v>51</v>
      </c>
      <c r="AC561" s="932" t="s">
        <v>52</v>
      </c>
      <c r="AD561" s="933">
        <f>ROUND((((W560*D560)/1800)*0.13),4)</f>
        <v>5.0000000000000001E-3</v>
      </c>
      <c r="AE561" s="933">
        <f>ROUND(((Y560+Z560+AA560)*0.13),4)</f>
        <v>4.0800000000000003E-2</v>
      </c>
      <c r="AF561" s="61"/>
      <c r="AG561" s="61"/>
      <c r="AH561" s="61"/>
      <c r="AI561" s="61"/>
    </row>
    <row r="562" spans="1:35" s="417" customFormat="1" ht="15" customHeight="1" x14ac:dyDescent="0.2">
      <c r="A562" s="558"/>
      <c r="B562" s="387" t="s">
        <v>360</v>
      </c>
      <c r="C562" s="389"/>
      <c r="D562" s="209"/>
      <c r="E562" s="209"/>
      <c r="F562" s="209"/>
      <c r="G562" s="209"/>
      <c r="H562" s="209"/>
      <c r="I562" s="209"/>
      <c r="J562" s="209"/>
      <c r="K562" s="209">
        <v>0.19</v>
      </c>
      <c r="L562" s="209">
        <v>0.23</v>
      </c>
      <c r="M562" s="209"/>
      <c r="N562" s="209"/>
      <c r="O562" s="209"/>
      <c r="P562" s="209"/>
      <c r="Q562" s="209"/>
      <c r="R562" s="133">
        <v>9.7000000000000003E-2</v>
      </c>
      <c r="S562" s="207">
        <f>ROUND((K562*H560+1.3*K562*J560+R562*G560),4)</f>
        <v>69.802499999999995</v>
      </c>
      <c r="T562" s="207">
        <f>ROUND((L562*0.9*H560+1.3*L562*0.9*J560+R562*G560),4)</f>
        <v>75.527299999999997</v>
      </c>
      <c r="U562" s="207">
        <f>ROUND((L562*H560+1.3*L562*J560+R562*G560),4)</f>
        <v>83.272499999999994</v>
      </c>
      <c r="V562" s="207">
        <f>ROUND((K562*I560+1.3*K562*M560+R562*F560),4)</f>
        <v>5.7119999999999997</v>
      </c>
      <c r="W562" s="207">
        <f>ROUND((L562*0.9*I560+1.3*L562*0.9*M560+R562*F560),4)</f>
        <v>6.1710000000000003</v>
      </c>
      <c r="X562" s="207">
        <f>ROUND((L562*I560+1.3*L562*M560+R562*F560),4)</f>
        <v>6.7919999999999998</v>
      </c>
      <c r="Y562" s="385">
        <f>ROUND((O560*S562*E560*N560/1000000),4)</f>
        <v>1.26E-2</v>
      </c>
      <c r="Z562" s="385">
        <f>ROUND((P560*T562*E560*N560/1000000),4)</f>
        <v>6.7999999999999996E-3</v>
      </c>
      <c r="AA562" s="385">
        <f>ROUND((Q560*U562*E560*N560/1000000),4)</f>
        <v>7.9000000000000008E-3</v>
      </c>
      <c r="AB562" s="931" t="s">
        <v>56</v>
      </c>
      <c r="AC562" s="932" t="s">
        <v>57</v>
      </c>
      <c r="AD562" s="933">
        <f>ROUND((((W562*D560)/1800)),4)</f>
        <v>3.3999999999999998E-3</v>
      </c>
      <c r="AE562" s="933">
        <f>ROUND(((Y562+Z562+AA562)),5)</f>
        <v>2.7300000000000001E-2</v>
      </c>
      <c r="AF562" s="61"/>
      <c r="AG562" s="61"/>
      <c r="AH562" s="61"/>
      <c r="AI562" s="61"/>
    </row>
    <row r="563" spans="1:35" s="417" customFormat="1" ht="15" customHeight="1" x14ac:dyDescent="0.2">
      <c r="A563" s="558"/>
      <c r="B563" s="387"/>
      <c r="C563" s="387"/>
      <c r="D563" s="209"/>
      <c r="E563" s="209"/>
      <c r="F563" s="209"/>
      <c r="G563" s="209"/>
      <c r="H563" s="209"/>
      <c r="I563" s="209"/>
      <c r="J563" s="209"/>
      <c r="K563" s="209">
        <v>0.43</v>
      </c>
      <c r="L563" s="209">
        <v>0.51</v>
      </c>
      <c r="M563" s="209"/>
      <c r="N563" s="209"/>
      <c r="O563" s="209"/>
      <c r="P563" s="209"/>
      <c r="Q563" s="209"/>
      <c r="R563" s="133">
        <v>0.3</v>
      </c>
      <c r="S563" s="207">
        <f>ROUND((K563*H560+1.3*K563*J560+R563*G560),4)</f>
        <v>162.80250000000001</v>
      </c>
      <c r="T563" s="207">
        <f>ROUND((L563*0.9*H560+1.3*L563*0.9*J560+R563*G560),4)</f>
        <v>172.56829999999999</v>
      </c>
      <c r="U563" s="207">
        <f>ROUND((L563*H560+1.3*L563*J560+R563*G560),4)</f>
        <v>189.74250000000001</v>
      </c>
      <c r="V563" s="207">
        <f>ROUND((K563*I560+1.3*K563*M560+R563*F560),4)</f>
        <v>13.41</v>
      </c>
      <c r="W563" s="207">
        <f>ROUND((L563*0.9*I560+1.3*L563*0.9*M560+R563*F560),4)</f>
        <v>14.193</v>
      </c>
      <c r="X563" s="207">
        <f>ROUND((L563*I560+1.3*M560+R563*F560),4)</f>
        <v>21.94</v>
      </c>
      <c r="Y563" s="385">
        <f>ROUND((O560*S563*E560*N560/1000000),4)</f>
        <v>2.93E-2</v>
      </c>
      <c r="Z563" s="385">
        <f>ROUND((P560*T563*E560*N560/1000000),4)</f>
        <v>1.55E-2</v>
      </c>
      <c r="AA563" s="385">
        <f>ROUND((Q560*U563*E560*N560/1000000),4)</f>
        <v>1.7999999999999999E-2</v>
      </c>
      <c r="AB563" s="931" t="s">
        <v>177</v>
      </c>
      <c r="AC563" s="932" t="s">
        <v>178</v>
      </c>
      <c r="AD563" s="933">
        <f>ROUND((((W563*D560)/1800)),4)</f>
        <v>7.9000000000000008E-3</v>
      </c>
      <c r="AE563" s="933">
        <f>ROUND(((Y563+Z563+AA563)),4)</f>
        <v>6.2799999999999995E-2</v>
      </c>
      <c r="AF563" s="61"/>
      <c r="AG563" s="61"/>
      <c r="AH563" s="61"/>
      <c r="AI563" s="61"/>
    </row>
    <row r="564" spans="1:35" s="417" customFormat="1" ht="15" customHeight="1" x14ac:dyDescent="0.2">
      <c r="A564" s="558"/>
      <c r="B564" s="387"/>
      <c r="C564" s="387"/>
      <c r="D564" s="209"/>
      <c r="E564" s="209"/>
      <c r="F564" s="209"/>
      <c r="G564" s="209"/>
      <c r="H564" s="209"/>
      <c r="I564" s="209"/>
      <c r="J564" s="209"/>
      <c r="K564" s="209">
        <v>0.27</v>
      </c>
      <c r="L564" s="209">
        <v>0.41</v>
      </c>
      <c r="M564" s="209"/>
      <c r="N564" s="209"/>
      <c r="O564" s="209"/>
      <c r="P564" s="209"/>
      <c r="Q564" s="209"/>
      <c r="R564" s="133">
        <v>0.06</v>
      </c>
      <c r="S564" s="207">
        <f>ROUND((K564*H560+1.3*K564*J560+R564*G560),4)</f>
        <v>94.522499999999994</v>
      </c>
      <c r="T564" s="207">
        <f>ROUND((L564*0.9*H560+1.3*L564*0.9*J560+R564*G560),4)</f>
        <v>127.8608</v>
      </c>
      <c r="U564" s="207">
        <f>ROUND((L564*H560+1.3*L564*J560+R564*G560),4)</f>
        <v>141.66749999999999</v>
      </c>
      <c r="V564" s="207">
        <f>ROUND((K564*I560+1.3*K564*M560+R564*F560),4)</f>
        <v>7.65</v>
      </c>
      <c r="W564" s="207">
        <f>ROUND((L564*0.9*I560+1.3*L564*0.9*M560+R564*F560),4)</f>
        <v>10.323</v>
      </c>
      <c r="X564" s="207">
        <f>ROUND((L564*I560+1.3*L564*M560+R564*F560),4)</f>
        <v>11.43</v>
      </c>
      <c r="Y564" s="385">
        <f>ROUND((O560*S564*E560*N560/1000000),4)</f>
        <v>1.7000000000000001E-2</v>
      </c>
      <c r="Z564" s="385">
        <f>ROUND((P560*T564*E560*N560/1000000),4)</f>
        <v>1.15E-2</v>
      </c>
      <c r="AA564" s="385">
        <f>ROUND((Q560*U564*E560*N560/1000000),4)</f>
        <v>1.35E-2</v>
      </c>
      <c r="AB564" s="931" t="s">
        <v>61</v>
      </c>
      <c r="AC564" s="932" t="s">
        <v>62</v>
      </c>
      <c r="AD564" s="933">
        <f>ROUND((((W564*D560)/1800)),4)</f>
        <v>5.7000000000000002E-3</v>
      </c>
      <c r="AE564" s="933">
        <f>ROUND(((Y564+Z564+AA564)),4)</f>
        <v>4.2000000000000003E-2</v>
      </c>
      <c r="AF564" s="61"/>
      <c r="AG564" s="61"/>
      <c r="AH564" s="61"/>
      <c r="AI564" s="61"/>
    </row>
    <row r="565" spans="1:35" s="417" customFormat="1" ht="15" customHeight="1" x14ac:dyDescent="0.2">
      <c r="A565" s="563"/>
      <c r="B565" s="214"/>
      <c r="C565" s="214"/>
      <c r="D565" s="210"/>
      <c r="E565" s="210"/>
      <c r="F565" s="210"/>
      <c r="G565" s="210"/>
      <c r="H565" s="210"/>
      <c r="I565" s="210"/>
      <c r="J565" s="210"/>
      <c r="K565" s="210">
        <v>1.29</v>
      </c>
      <c r="L565" s="210">
        <v>1.57</v>
      </c>
      <c r="M565" s="210"/>
      <c r="N565" s="210"/>
      <c r="O565" s="210"/>
      <c r="P565" s="210"/>
      <c r="Q565" s="210"/>
      <c r="R565" s="133">
        <v>2.4</v>
      </c>
      <c r="S565" s="134">
        <f>ROUND((K565*H560+1.3*K565*J560+R565*G560),4)</f>
        <v>578.40750000000003</v>
      </c>
      <c r="T565" s="134">
        <f>ROUND((L565*0.9*H560+1.3*L565*0.9*J560+R565*G560),4)</f>
        <v>619.82780000000002</v>
      </c>
      <c r="U565" s="134">
        <f>ROUND((L565*H560+1.3*L565*J560+R565*G560),4)</f>
        <v>672.69749999999999</v>
      </c>
      <c r="V565" s="134">
        <f>ROUND((K565*I560+1.3*K565*M560+R565*F560),4)</f>
        <v>49.23</v>
      </c>
      <c r="W565" s="134">
        <f>ROUND((L565*0.9*I560+1.3*L565*0.9*M560+R565*F560),4)</f>
        <v>52.551000000000002</v>
      </c>
      <c r="X565" s="134">
        <f>ROUND((L565*I560+1.3*L565*M560+R565*F560),4)</f>
        <v>56.79</v>
      </c>
      <c r="Y565" s="394">
        <f>ROUND((O560*S565*E560*N560/1000000),4)</f>
        <v>0.1041</v>
      </c>
      <c r="Z565" s="394">
        <f>ROUND((P560*T565*E560*N560/1000000),4)</f>
        <v>5.5800000000000002E-2</v>
      </c>
      <c r="AA565" s="394">
        <f>ROUND((Q560*U565*E560*N560/1000000),4)</f>
        <v>6.3899999999999998E-2</v>
      </c>
      <c r="AB565" s="931" t="s">
        <v>65</v>
      </c>
      <c r="AC565" s="932" t="s">
        <v>66</v>
      </c>
      <c r="AD565" s="933">
        <f>ROUND((((W565*D560)/1800)),4)</f>
        <v>2.92E-2</v>
      </c>
      <c r="AE565" s="933">
        <f>ROUND(((Y565+Z565+AA565)),4)</f>
        <v>0.2238</v>
      </c>
      <c r="AF565" s="61">
        <f>SUM(AD560:AD565)</f>
        <v>8.2100000000000006E-2</v>
      </c>
      <c r="AG565" s="61">
        <f>SUM(AE560:AE565)</f>
        <v>0.6480999999999999</v>
      </c>
      <c r="AH565" s="61"/>
      <c r="AI565" s="61"/>
    </row>
    <row r="566" spans="1:35" s="417" customFormat="1" ht="15" customHeight="1" x14ac:dyDescent="0.2">
      <c r="A566" s="1449" t="s">
        <v>699</v>
      </c>
      <c r="B566" s="1450"/>
      <c r="C566" s="1451"/>
      <c r="D566" s="1451"/>
      <c r="E566" s="1451"/>
      <c r="F566" s="1451"/>
      <c r="G566" s="1451"/>
      <c r="H566" s="1451"/>
      <c r="I566" s="1451"/>
      <c r="J566" s="1451"/>
      <c r="K566" s="1451"/>
      <c r="L566" s="1451"/>
      <c r="M566" s="1451"/>
      <c r="N566" s="1451"/>
      <c r="O566" s="1451"/>
      <c r="P566" s="1451"/>
      <c r="Q566" s="1451"/>
      <c r="R566" s="1451"/>
      <c r="S566" s="1451"/>
      <c r="T566" s="1451"/>
      <c r="U566" s="1451"/>
      <c r="V566" s="1451"/>
      <c r="W566" s="1451"/>
      <c r="X566" s="1451"/>
      <c r="Y566" s="1451"/>
      <c r="Z566" s="1451"/>
      <c r="AA566" s="1451"/>
      <c r="AB566" s="1451"/>
      <c r="AC566" s="1451"/>
      <c r="AD566" s="1451"/>
      <c r="AE566" s="1452"/>
      <c r="AF566" s="61"/>
      <c r="AG566" s="61"/>
      <c r="AH566" s="61"/>
      <c r="AI566" s="61"/>
    </row>
    <row r="567" spans="1:35" s="417" customFormat="1" ht="15" customHeight="1" x14ac:dyDescent="0.2">
      <c r="A567" s="551" t="s">
        <v>576</v>
      </c>
      <c r="B567" s="398" t="s">
        <v>343</v>
      </c>
      <c r="C567" s="212">
        <v>4</v>
      </c>
      <c r="D567" s="170">
        <v>1</v>
      </c>
      <c r="E567" s="170">
        <v>1</v>
      </c>
      <c r="F567" s="170">
        <v>6</v>
      </c>
      <c r="G567" s="170">
        <v>60</v>
      </c>
      <c r="H567" s="170">
        <f>(8-1-0.75*2)*60*E567-J567-8*0.12*60</f>
        <v>57.900000000000006</v>
      </c>
      <c r="I567" s="170">
        <v>14</v>
      </c>
      <c r="J567" s="170">
        <f>(8-1-0.75*2)*0.65*60*E567</f>
        <v>214.5</v>
      </c>
      <c r="K567" s="170">
        <v>2.4700000000000002</v>
      </c>
      <c r="L567" s="170">
        <v>2.4700000000000002</v>
      </c>
      <c r="M567" s="170">
        <v>10</v>
      </c>
      <c r="N567" s="170">
        <f>D567/E567</f>
        <v>1</v>
      </c>
      <c r="O567" s="170">
        <v>173</v>
      </c>
      <c r="P567" s="170">
        <v>0</v>
      </c>
      <c r="Q567" s="211">
        <v>0</v>
      </c>
      <c r="R567" s="170">
        <v>0.48</v>
      </c>
      <c r="S567" s="207">
        <f>ROUND((K567*H567+1.3*K567*J567+R567*G567),4)</f>
        <v>860.57249999999999</v>
      </c>
      <c r="T567" s="207">
        <f>ROUND((L567*H567+1.3*L567*J567+R567*G567),4)</f>
        <v>860.57249999999999</v>
      </c>
      <c r="U567" s="207">
        <f>ROUND((L567*H567+1.3*L567*J567+R567*G567),4)</f>
        <v>860.57249999999999</v>
      </c>
      <c r="V567" s="207">
        <f>ROUND((K567*I567+1.3*K567*M567+R567*F567),4)</f>
        <v>69.569999999999993</v>
      </c>
      <c r="W567" s="207">
        <f>ROUND((L567*I567+1.3*L567*M567+R567*F567),4)</f>
        <v>69.569999999999993</v>
      </c>
      <c r="X567" s="207">
        <f>ROUND((L567*I567+1.3*L567*M567+R567*F567),4)</f>
        <v>69.569999999999993</v>
      </c>
      <c r="Y567" s="385">
        <f>ROUND((O567*S567*E567*N567/1000000),4)</f>
        <v>0.1489</v>
      </c>
      <c r="Z567" s="385">
        <f>ROUND((P567*T567*E567*N567/1000000),4)</f>
        <v>0</v>
      </c>
      <c r="AA567" s="385">
        <f>ROUND((Q567*U567*E567*N567/1000000),4)</f>
        <v>0</v>
      </c>
      <c r="AB567" s="931" t="s">
        <v>48</v>
      </c>
      <c r="AC567" s="932" t="s">
        <v>49</v>
      </c>
      <c r="AD567" s="933">
        <f>ROUND((((W567*D567)/1800)*0.8),4)</f>
        <v>3.09E-2</v>
      </c>
      <c r="AE567" s="933">
        <f>ROUND(((Y567+Z567+AA567)*0.8),4)</f>
        <v>0.1191</v>
      </c>
      <c r="AF567" s="61"/>
      <c r="AG567" s="61"/>
      <c r="AH567" s="61"/>
      <c r="AI567" s="61"/>
    </row>
    <row r="568" spans="1:35" s="417" customFormat="1" ht="15" customHeight="1" x14ac:dyDescent="0.2">
      <c r="A568" s="552" t="s">
        <v>492</v>
      </c>
      <c r="B568" s="399" t="s">
        <v>359</v>
      </c>
      <c r="C568" s="387"/>
      <c r="D568" s="209"/>
      <c r="E568" s="209"/>
      <c r="F568" s="209"/>
      <c r="G568" s="209"/>
      <c r="H568" s="209"/>
      <c r="I568" s="209"/>
      <c r="J568" s="209"/>
      <c r="K568" s="209"/>
      <c r="L568" s="209"/>
      <c r="M568" s="209"/>
      <c r="N568" s="209"/>
      <c r="O568" s="209"/>
      <c r="P568" s="209"/>
      <c r="Q568" s="209"/>
      <c r="R568" s="388"/>
      <c r="S568" s="215"/>
      <c r="T568" s="215"/>
      <c r="U568" s="215"/>
      <c r="V568" s="215"/>
      <c r="W568" s="215"/>
      <c r="X568" s="215"/>
      <c r="Y568" s="215"/>
      <c r="Z568" s="215"/>
      <c r="AA568" s="215"/>
      <c r="AB568" s="931" t="s">
        <v>51</v>
      </c>
      <c r="AC568" s="932" t="s">
        <v>52</v>
      </c>
      <c r="AD568" s="933">
        <f>ROUND((((W567*D567)/1800)*0.13),4)</f>
        <v>5.0000000000000001E-3</v>
      </c>
      <c r="AE568" s="933">
        <f>ROUND(((Y567+Z567+AA567)*0.13),4)</f>
        <v>1.9400000000000001E-2</v>
      </c>
      <c r="AF568" s="61"/>
      <c r="AG568" s="61"/>
      <c r="AH568" s="61"/>
      <c r="AI568" s="61"/>
    </row>
    <row r="569" spans="1:35" s="417" customFormat="1" ht="15" customHeight="1" x14ac:dyDescent="0.2">
      <c r="A569" s="558"/>
      <c r="B569" s="387" t="s">
        <v>360</v>
      </c>
      <c r="C569" s="389"/>
      <c r="D569" s="209"/>
      <c r="E569" s="209"/>
      <c r="F569" s="209"/>
      <c r="G569" s="209"/>
      <c r="H569" s="209"/>
      <c r="I569" s="209"/>
      <c r="J569" s="209"/>
      <c r="K569" s="209">
        <v>0.19</v>
      </c>
      <c r="L569" s="209">
        <v>0.23</v>
      </c>
      <c r="M569" s="209"/>
      <c r="N569" s="209"/>
      <c r="O569" s="209"/>
      <c r="P569" s="209"/>
      <c r="Q569" s="209"/>
      <c r="R569" s="133">
        <v>9.7000000000000003E-2</v>
      </c>
      <c r="S569" s="207">
        <f>ROUND((K569*H567+1.3*K569*J567+R569*G567),4)</f>
        <v>69.802499999999995</v>
      </c>
      <c r="T569" s="207">
        <f>ROUND((L569*0.9*H567+1.3*L569*0.9*J567+R569*G567),4)</f>
        <v>75.527299999999997</v>
      </c>
      <c r="U569" s="207">
        <f>ROUND((L569*H567+1.3*L569*J567+R569*G567),4)</f>
        <v>83.272499999999994</v>
      </c>
      <c r="V569" s="207">
        <f>ROUND((K569*I567+1.3*K569*M567+R569*F567),4)</f>
        <v>5.7119999999999997</v>
      </c>
      <c r="W569" s="207">
        <f>ROUND((L569*0.9*I567+1.3*L569*0.9*M567+R569*F567),4)</f>
        <v>6.1710000000000003</v>
      </c>
      <c r="X569" s="207">
        <f>ROUND((L569*I567+1.3*L569*M567+R569*F567),4)</f>
        <v>6.7919999999999998</v>
      </c>
      <c r="Y569" s="385">
        <f>ROUND((O567*S569*E567*N567/1000000),4)</f>
        <v>1.21E-2</v>
      </c>
      <c r="Z569" s="385">
        <f>ROUND((P567*T569*E567*N567/1000000),4)</f>
        <v>0</v>
      </c>
      <c r="AA569" s="385">
        <f>ROUND((Q567*U569*E567*N567/1000000),4)</f>
        <v>0</v>
      </c>
      <c r="AB569" s="931" t="s">
        <v>56</v>
      </c>
      <c r="AC569" s="932" t="s">
        <v>57</v>
      </c>
      <c r="AD569" s="933">
        <f>ROUND((((W569*D567)/1800)),4)</f>
        <v>3.3999999999999998E-3</v>
      </c>
      <c r="AE569" s="933">
        <f>ROUND(((Y569+Z569+AA569)),5)</f>
        <v>1.21E-2</v>
      </c>
      <c r="AF569" s="61"/>
      <c r="AG569" s="61"/>
      <c r="AH569" s="61"/>
      <c r="AI569" s="61"/>
    </row>
    <row r="570" spans="1:35" s="417" customFormat="1" ht="15" customHeight="1" x14ac:dyDescent="0.2">
      <c r="A570" s="558"/>
      <c r="B570" s="387"/>
      <c r="C570" s="387"/>
      <c r="D570" s="209"/>
      <c r="E570" s="209"/>
      <c r="F570" s="209"/>
      <c r="G570" s="209"/>
      <c r="H570" s="209"/>
      <c r="I570" s="209"/>
      <c r="J570" s="209"/>
      <c r="K570" s="209">
        <v>0.43</v>
      </c>
      <c r="L570" s="209">
        <v>0.51</v>
      </c>
      <c r="M570" s="209"/>
      <c r="N570" s="209"/>
      <c r="O570" s="209"/>
      <c r="P570" s="209"/>
      <c r="Q570" s="209"/>
      <c r="R570" s="133">
        <v>0.3</v>
      </c>
      <c r="S570" s="207">
        <f>ROUND((K570*H567+1.3*K570*J567+R570*G567),4)</f>
        <v>162.80250000000001</v>
      </c>
      <c r="T570" s="207">
        <f>ROUND((L570*0.9*H567+1.3*L570*0.9*J567+R570*G567),4)</f>
        <v>172.56829999999999</v>
      </c>
      <c r="U570" s="207">
        <f>ROUND((L570*H567+1.3*L570*J567+R570*G567),4)</f>
        <v>189.74250000000001</v>
      </c>
      <c r="V570" s="207">
        <f>ROUND((K570*I567+1.3*K570*M567+R570*F567),4)</f>
        <v>13.41</v>
      </c>
      <c r="W570" s="207">
        <f>ROUND((L570*0.9*I567+1.3*L570*0.9*M567+R570*F567),4)</f>
        <v>14.193</v>
      </c>
      <c r="X570" s="207">
        <f>ROUND((L570*I567+1.3*M567+R570*F567),4)</f>
        <v>21.94</v>
      </c>
      <c r="Y570" s="385">
        <f>ROUND((O567*S570*E567*N567/1000000),4)</f>
        <v>2.8199999999999999E-2</v>
      </c>
      <c r="Z570" s="385">
        <f>ROUND((P567*T570*E567*N567/1000000),4)</f>
        <v>0</v>
      </c>
      <c r="AA570" s="385">
        <f>ROUND((Q567*U570*E567*N567/1000000),4)</f>
        <v>0</v>
      </c>
      <c r="AB570" s="931" t="s">
        <v>177</v>
      </c>
      <c r="AC570" s="932" t="s">
        <v>178</v>
      </c>
      <c r="AD570" s="933">
        <f>ROUND((((W570*D567)/1800)),4)</f>
        <v>7.9000000000000008E-3</v>
      </c>
      <c r="AE570" s="933">
        <f>ROUND(((Y570+Z570+AA570)),4)</f>
        <v>2.8199999999999999E-2</v>
      </c>
      <c r="AF570" s="61"/>
      <c r="AG570" s="61"/>
      <c r="AH570" s="61"/>
      <c r="AI570" s="61"/>
    </row>
    <row r="571" spans="1:35" s="417" customFormat="1" ht="15" customHeight="1" x14ac:dyDescent="0.2">
      <c r="A571" s="558"/>
      <c r="B571" s="387"/>
      <c r="C571" s="387"/>
      <c r="D571" s="209"/>
      <c r="E571" s="209"/>
      <c r="F571" s="209"/>
      <c r="G571" s="209"/>
      <c r="H571" s="209"/>
      <c r="I571" s="209"/>
      <c r="J571" s="209"/>
      <c r="K571" s="209">
        <v>0.27</v>
      </c>
      <c r="L571" s="209">
        <v>0.41</v>
      </c>
      <c r="M571" s="209"/>
      <c r="N571" s="209"/>
      <c r="O571" s="209"/>
      <c r="P571" s="209"/>
      <c r="Q571" s="209"/>
      <c r="R571" s="133">
        <v>0.06</v>
      </c>
      <c r="S571" s="207">
        <f>ROUND((K571*H567+1.3*K571*J567+R571*G567),4)</f>
        <v>94.522499999999994</v>
      </c>
      <c r="T571" s="207">
        <f>ROUND((L571*0.9*H567+1.3*L571*0.9*J567+R571*G567),4)</f>
        <v>127.8608</v>
      </c>
      <c r="U571" s="207">
        <f>ROUND((L571*H567+1.3*L571*J567+R571*G567),4)</f>
        <v>141.66749999999999</v>
      </c>
      <c r="V571" s="207">
        <f>ROUND((K571*I567+1.3*K571*M567+R571*F567),4)</f>
        <v>7.65</v>
      </c>
      <c r="W571" s="207">
        <f>ROUND((L571*0.9*I567+1.3*L571*0.9*M567+R571*F567),4)</f>
        <v>10.323</v>
      </c>
      <c r="X571" s="207">
        <f>ROUND((L571*I567+1.3*L571*M567+R571*F567),4)</f>
        <v>11.43</v>
      </c>
      <c r="Y571" s="385">
        <f>ROUND((O567*S571*E567*N567/1000000),4)</f>
        <v>1.6400000000000001E-2</v>
      </c>
      <c r="Z571" s="385">
        <f>ROUND((P567*T571*E567*N567/1000000),4)</f>
        <v>0</v>
      </c>
      <c r="AA571" s="385">
        <f>ROUND((Q567*U571*E567*N567/1000000),4)</f>
        <v>0</v>
      </c>
      <c r="AB571" s="931" t="s">
        <v>61</v>
      </c>
      <c r="AC571" s="932" t="s">
        <v>62</v>
      </c>
      <c r="AD571" s="933">
        <f>ROUND((((W571*D567)/1800)),4)</f>
        <v>5.7000000000000002E-3</v>
      </c>
      <c r="AE571" s="933">
        <f>ROUND(((Y571+Z571+AA571)),4)</f>
        <v>1.6400000000000001E-2</v>
      </c>
      <c r="AF571" s="61"/>
      <c r="AG571" s="61"/>
      <c r="AH571" s="61"/>
      <c r="AI571" s="61"/>
    </row>
    <row r="572" spans="1:35" s="417" customFormat="1" ht="15" customHeight="1" x14ac:dyDescent="0.2">
      <c r="A572" s="563"/>
      <c r="B572" s="214"/>
      <c r="C572" s="214"/>
      <c r="D572" s="210"/>
      <c r="E572" s="210"/>
      <c r="F572" s="210"/>
      <c r="G572" s="210"/>
      <c r="H572" s="210"/>
      <c r="I572" s="210"/>
      <c r="J572" s="210"/>
      <c r="K572" s="210">
        <v>1.29</v>
      </c>
      <c r="L572" s="210">
        <v>1.57</v>
      </c>
      <c r="M572" s="210"/>
      <c r="N572" s="210"/>
      <c r="O572" s="210"/>
      <c r="P572" s="210"/>
      <c r="Q572" s="210"/>
      <c r="R572" s="133">
        <v>2.4</v>
      </c>
      <c r="S572" s="134">
        <f>ROUND((K572*H567+1.3*K572*J567+R572*G567),4)</f>
        <v>578.40750000000003</v>
      </c>
      <c r="T572" s="134">
        <f>ROUND((L572*0.9*H567+1.3*L572*0.9*J567+R572*G567),4)</f>
        <v>619.82780000000002</v>
      </c>
      <c r="U572" s="134">
        <f>ROUND((L572*H567+1.3*L572*J567+R572*G567),4)</f>
        <v>672.69749999999999</v>
      </c>
      <c r="V572" s="134">
        <f>ROUND((K572*I567+1.3*K572*M567+R572*F567),4)</f>
        <v>49.23</v>
      </c>
      <c r="W572" s="134">
        <f>ROUND((L572*0.9*I567+1.3*L572*0.9*M567+R572*F567),4)</f>
        <v>52.551000000000002</v>
      </c>
      <c r="X572" s="134">
        <f>ROUND((L572*I567+1.3*L572*M567+R572*F567),4)</f>
        <v>56.79</v>
      </c>
      <c r="Y572" s="394">
        <f>ROUND((O567*S572*E567*N567/1000000),4)</f>
        <v>0.10009999999999999</v>
      </c>
      <c r="Z572" s="394">
        <f>ROUND((P567*T572*E567*N567/1000000),4)</f>
        <v>0</v>
      </c>
      <c r="AA572" s="394">
        <f>ROUND((Q567*U572*E567*N567/1000000),4)</f>
        <v>0</v>
      </c>
      <c r="AB572" s="931" t="s">
        <v>65</v>
      </c>
      <c r="AC572" s="932" t="s">
        <v>66</v>
      </c>
      <c r="AD572" s="933">
        <f>ROUND((((W572*D567)/1800)),4)</f>
        <v>2.92E-2</v>
      </c>
      <c r="AE572" s="933">
        <f>ROUND(((Y572+Z572+AA572)),4)</f>
        <v>0.10009999999999999</v>
      </c>
      <c r="AF572" s="61">
        <f>SUM(AD567:AD572)</f>
        <v>8.2100000000000006E-2</v>
      </c>
      <c r="AG572" s="61">
        <f>SUM(AE567:AE572)</f>
        <v>0.29530000000000001</v>
      </c>
      <c r="AH572" s="61"/>
      <c r="AI572" s="61"/>
    </row>
    <row r="573" spans="1:35" s="417" customFormat="1" ht="15" customHeight="1" x14ac:dyDescent="0.2">
      <c r="A573" s="1449">
        <v>9</v>
      </c>
      <c r="B573" s="1450"/>
      <c r="C573" s="1451"/>
      <c r="D573" s="1451"/>
      <c r="E573" s="1451"/>
      <c r="F573" s="1451"/>
      <c r="G573" s="1451"/>
      <c r="H573" s="1451"/>
      <c r="I573" s="1451"/>
      <c r="J573" s="1451"/>
      <c r="K573" s="1451"/>
      <c r="L573" s="1451"/>
      <c r="M573" s="1451"/>
      <c r="N573" s="1451"/>
      <c r="O573" s="1451"/>
      <c r="P573" s="1451"/>
      <c r="Q573" s="1451"/>
      <c r="R573" s="1451"/>
      <c r="S573" s="1451"/>
      <c r="T573" s="1451"/>
      <c r="U573" s="1451"/>
      <c r="V573" s="1451"/>
      <c r="W573" s="1451"/>
      <c r="X573" s="1451"/>
      <c r="Y573" s="1451"/>
      <c r="Z573" s="1451"/>
      <c r="AA573" s="1451"/>
      <c r="AB573" s="1451"/>
      <c r="AC573" s="1451"/>
      <c r="AD573" s="1451"/>
      <c r="AE573" s="1452"/>
      <c r="AF573" s="61"/>
      <c r="AG573" s="61"/>
      <c r="AH573" s="61"/>
      <c r="AI573" s="61"/>
    </row>
    <row r="574" spans="1:35" s="417" customFormat="1" ht="15" customHeight="1" x14ac:dyDescent="0.2">
      <c r="A574" s="551" t="s">
        <v>582</v>
      </c>
      <c r="B574" s="398" t="s">
        <v>343</v>
      </c>
      <c r="C574" s="212">
        <v>4</v>
      </c>
      <c r="D574" s="170">
        <v>1</v>
      </c>
      <c r="E574" s="170">
        <v>1</v>
      </c>
      <c r="F574" s="170">
        <v>6</v>
      </c>
      <c r="G574" s="170">
        <v>60</v>
      </c>
      <c r="H574" s="170">
        <f>(8-1-0.75*2)*60*E574-J574-8*0.12*60</f>
        <v>57.900000000000006</v>
      </c>
      <c r="I574" s="170">
        <v>14</v>
      </c>
      <c r="J574" s="170">
        <f>(8-1-0.75*2)*0.65*60*E574</f>
        <v>214.5</v>
      </c>
      <c r="K574" s="170">
        <v>2.4700000000000002</v>
      </c>
      <c r="L574" s="170">
        <v>2.4700000000000002</v>
      </c>
      <c r="M574" s="170">
        <v>10</v>
      </c>
      <c r="N574" s="170">
        <f>D574/E574</f>
        <v>1</v>
      </c>
      <c r="O574" s="170">
        <v>173</v>
      </c>
      <c r="P574" s="170">
        <v>0</v>
      </c>
      <c r="Q574" s="211">
        <v>0</v>
      </c>
      <c r="R574" s="170">
        <v>0.48</v>
      </c>
      <c r="S574" s="207">
        <f>ROUND((K574*H574+1.3*K574*J574+R574*G574),4)</f>
        <v>860.57249999999999</v>
      </c>
      <c r="T574" s="207">
        <f>ROUND((L574*H574+1.3*L574*J574+R574*G574),4)</f>
        <v>860.57249999999999</v>
      </c>
      <c r="U574" s="207">
        <f>ROUND((L574*H574+1.3*L574*J574+R574*G574),4)</f>
        <v>860.57249999999999</v>
      </c>
      <c r="V574" s="207">
        <f>ROUND((K574*I574+1.3*K574*M574+R574*F574),4)</f>
        <v>69.569999999999993</v>
      </c>
      <c r="W574" s="207">
        <f>ROUND((L574*I574+1.3*L574*M574+R574*F574),4)</f>
        <v>69.569999999999993</v>
      </c>
      <c r="X574" s="207">
        <f>ROUND((L574*I574+1.3*L574*M574+R574*F574),4)</f>
        <v>69.569999999999993</v>
      </c>
      <c r="Y574" s="385">
        <f>ROUND((O574*S574*E574*N574/1000000),4)</f>
        <v>0.1489</v>
      </c>
      <c r="Z574" s="385">
        <f>ROUND((P574*T574*E574*N574/1000000),4)</f>
        <v>0</v>
      </c>
      <c r="AA574" s="385">
        <f>ROUND((Q574*U574*E574*N574/1000000),4)</f>
        <v>0</v>
      </c>
      <c r="AB574" s="931" t="s">
        <v>48</v>
      </c>
      <c r="AC574" s="932" t="s">
        <v>49</v>
      </c>
      <c r="AD574" s="933">
        <f>ROUND((((W574*D574)/1800)*0.8),4)</f>
        <v>3.09E-2</v>
      </c>
      <c r="AE574" s="933">
        <f>ROUND(((Y574+Z574+AA574)*0.8),4)</f>
        <v>0.1191</v>
      </c>
      <c r="AF574" s="61"/>
      <c r="AG574" s="61"/>
      <c r="AH574" s="61"/>
      <c r="AI574" s="61"/>
    </row>
    <row r="575" spans="1:35" s="417" customFormat="1" ht="15" customHeight="1" x14ac:dyDescent="0.2">
      <c r="A575" s="552" t="s">
        <v>492</v>
      </c>
      <c r="B575" s="399" t="s">
        <v>359</v>
      </c>
      <c r="C575" s="387"/>
      <c r="D575" s="209"/>
      <c r="E575" s="209"/>
      <c r="F575" s="209"/>
      <c r="G575" s="209"/>
      <c r="H575" s="209"/>
      <c r="I575" s="209"/>
      <c r="J575" s="209"/>
      <c r="K575" s="209"/>
      <c r="L575" s="209"/>
      <c r="M575" s="209"/>
      <c r="N575" s="209"/>
      <c r="O575" s="209"/>
      <c r="P575" s="209"/>
      <c r="Q575" s="209"/>
      <c r="R575" s="388"/>
      <c r="S575" s="215"/>
      <c r="T575" s="215"/>
      <c r="U575" s="215"/>
      <c r="V575" s="215"/>
      <c r="W575" s="215"/>
      <c r="X575" s="215"/>
      <c r="Y575" s="215"/>
      <c r="Z575" s="215"/>
      <c r="AA575" s="215"/>
      <c r="AB575" s="931" t="s">
        <v>51</v>
      </c>
      <c r="AC575" s="932" t="s">
        <v>52</v>
      </c>
      <c r="AD575" s="933">
        <f>ROUND((((W574*D574)/1800)*0.13),4)</f>
        <v>5.0000000000000001E-3</v>
      </c>
      <c r="AE575" s="933">
        <f>ROUND(((Y574+Z574+AA574)*0.13),4)</f>
        <v>1.9400000000000001E-2</v>
      </c>
      <c r="AF575" s="61"/>
      <c r="AG575" s="61"/>
      <c r="AH575" s="61"/>
      <c r="AI575" s="61"/>
    </row>
    <row r="576" spans="1:35" s="417" customFormat="1" ht="15" customHeight="1" x14ac:dyDescent="0.2">
      <c r="A576" s="558"/>
      <c r="B576" s="387" t="s">
        <v>360</v>
      </c>
      <c r="C576" s="389"/>
      <c r="D576" s="209"/>
      <c r="E576" s="209"/>
      <c r="F576" s="209"/>
      <c r="G576" s="209"/>
      <c r="H576" s="209"/>
      <c r="I576" s="209"/>
      <c r="J576" s="209"/>
      <c r="K576" s="209">
        <v>0.19</v>
      </c>
      <c r="L576" s="209">
        <v>0.23</v>
      </c>
      <c r="M576" s="209"/>
      <c r="N576" s="209"/>
      <c r="O576" s="209"/>
      <c r="P576" s="209"/>
      <c r="Q576" s="209"/>
      <c r="R576" s="133">
        <v>9.7000000000000003E-2</v>
      </c>
      <c r="S576" s="207">
        <f>ROUND((K576*H574+1.3*K576*J574+R576*G574),4)</f>
        <v>69.802499999999995</v>
      </c>
      <c r="T576" s="207">
        <f>ROUND((L576*0.9*H574+1.3*L576*0.9*J574+R576*G574),4)</f>
        <v>75.527299999999997</v>
      </c>
      <c r="U576" s="207">
        <f>ROUND((L576*H574+1.3*L576*J574+R576*G574),4)</f>
        <v>83.272499999999994</v>
      </c>
      <c r="V576" s="207">
        <f>ROUND((K576*I574+1.3*K576*M574+R576*F574),4)</f>
        <v>5.7119999999999997</v>
      </c>
      <c r="W576" s="207">
        <f>ROUND((L576*0.9*I574+1.3*L576*0.9*M574+R576*F574),4)</f>
        <v>6.1710000000000003</v>
      </c>
      <c r="X576" s="207">
        <f>ROUND((L576*I574+1.3*L576*M574+R576*F574),4)</f>
        <v>6.7919999999999998</v>
      </c>
      <c r="Y576" s="385">
        <f>ROUND((O574*S576*E574*N574/1000000),4)</f>
        <v>1.21E-2</v>
      </c>
      <c r="Z576" s="385">
        <f>ROUND((P574*T576*E574*N574/1000000),4)</f>
        <v>0</v>
      </c>
      <c r="AA576" s="385">
        <f>ROUND((Q574*U576*E574*N574/1000000),4)</f>
        <v>0</v>
      </c>
      <c r="AB576" s="931" t="s">
        <v>56</v>
      </c>
      <c r="AC576" s="932" t="s">
        <v>57</v>
      </c>
      <c r="AD576" s="933">
        <f>ROUND((((W576*D574)/1800)),4)</f>
        <v>3.3999999999999998E-3</v>
      </c>
      <c r="AE576" s="933">
        <f>ROUND(((Y576+Z576+AA576)),5)</f>
        <v>1.21E-2</v>
      </c>
      <c r="AF576" s="61"/>
      <c r="AG576" s="61"/>
      <c r="AH576" s="61"/>
      <c r="AI576" s="61"/>
    </row>
    <row r="577" spans="1:35" s="417" customFormat="1" ht="15" customHeight="1" x14ac:dyDescent="0.2">
      <c r="A577" s="558"/>
      <c r="B577" s="387"/>
      <c r="C577" s="387"/>
      <c r="D577" s="209"/>
      <c r="E577" s="209"/>
      <c r="F577" s="209"/>
      <c r="G577" s="209"/>
      <c r="H577" s="209"/>
      <c r="I577" s="209"/>
      <c r="J577" s="209"/>
      <c r="K577" s="209">
        <v>0.43</v>
      </c>
      <c r="L577" s="209">
        <v>0.51</v>
      </c>
      <c r="M577" s="209"/>
      <c r="N577" s="209"/>
      <c r="O577" s="209"/>
      <c r="P577" s="209"/>
      <c r="Q577" s="209"/>
      <c r="R577" s="133">
        <v>0.3</v>
      </c>
      <c r="S577" s="207">
        <f>ROUND((K577*H574+1.3*K577*J574+R577*G574),4)</f>
        <v>162.80250000000001</v>
      </c>
      <c r="T577" s="207">
        <f>ROUND((L577*0.9*H574+1.3*L577*0.9*J574+R577*G574),4)</f>
        <v>172.56829999999999</v>
      </c>
      <c r="U577" s="207">
        <f>ROUND((L577*H574+1.3*L577*J574+R577*G574),4)</f>
        <v>189.74250000000001</v>
      </c>
      <c r="V577" s="207">
        <f>ROUND((K577*I574+1.3*K577*M574+R577*F574),4)</f>
        <v>13.41</v>
      </c>
      <c r="W577" s="207">
        <f>ROUND((L577*0.9*I574+1.3*L577*0.9*M574+R577*F574),4)</f>
        <v>14.193</v>
      </c>
      <c r="X577" s="207">
        <f>ROUND((L577*I574+1.3*M574+R577*F574),4)</f>
        <v>21.94</v>
      </c>
      <c r="Y577" s="385">
        <f>ROUND((O574*S577*E574*N574/1000000),4)</f>
        <v>2.8199999999999999E-2</v>
      </c>
      <c r="Z577" s="385">
        <f>ROUND((P574*T577*E574*N574/1000000),4)</f>
        <v>0</v>
      </c>
      <c r="AA577" s="385">
        <f>ROUND((Q574*U577*E574*N574/1000000),4)</f>
        <v>0</v>
      </c>
      <c r="AB577" s="931" t="s">
        <v>177</v>
      </c>
      <c r="AC577" s="932" t="s">
        <v>178</v>
      </c>
      <c r="AD577" s="933">
        <f>ROUND((((W577*D574)/1800)),4)</f>
        <v>7.9000000000000008E-3</v>
      </c>
      <c r="AE577" s="933">
        <f>ROUND(((Y577+Z577+AA577)),4)</f>
        <v>2.8199999999999999E-2</v>
      </c>
      <c r="AF577" s="61"/>
      <c r="AG577" s="61"/>
      <c r="AH577" s="61"/>
      <c r="AI577" s="61"/>
    </row>
    <row r="578" spans="1:35" s="417" customFormat="1" ht="15" customHeight="1" x14ac:dyDescent="0.2">
      <c r="A578" s="558"/>
      <c r="B578" s="387"/>
      <c r="C578" s="387"/>
      <c r="D578" s="209"/>
      <c r="E578" s="209"/>
      <c r="F578" s="209"/>
      <c r="G578" s="209"/>
      <c r="H578" s="209"/>
      <c r="I578" s="209"/>
      <c r="J578" s="209"/>
      <c r="K578" s="209">
        <v>0.27</v>
      </c>
      <c r="L578" s="209">
        <v>0.41</v>
      </c>
      <c r="M578" s="209"/>
      <c r="N578" s="209"/>
      <c r="O578" s="209"/>
      <c r="P578" s="209"/>
      <c r="Q578" s="209"/>
      <c r="R578" s="133">
        <v>0.06</v>
      </c>
      <c r="S578" s="207">
        <f>ROUND((K578*H574+1.3*K578*J574+R578*G574),4)</f>
        <v>94.522499999999994</v>
      </c>
      <c r="T578" s="207">
        <f>ROUND((L578*0.9*H574+1.3*L578*0.9*J574+R578*G574),4)</f>
        <v>127.8608</v>
      </c>
      <c r="U578" s="207">
        <f>ROUND((L578*H574+1.3*L578*J574+R578*G574),4)</f>
        <v>141.66749999999999</v>
      </c>
      <c r="V578" s="207">
        <f>ROUND((K578*I574+1.3*K578*M574+R578*F574),4)</f>
        <v>7.65</v>
      </c>
      <c r="W578" s="207">
        <f>ROUND((L578*0.9*I574+1.3*L578*0.9*M574+R578*F574),4)</f>
        <v>10.323</v>
      </c>
      <c r="X578" s="207">
        <f>ROUND((L578*I574+1.3*L578*M574+R578*F574),4)</f>
        <v>11.43</v>
      </c>
      <c r="Y578" s="385">
        <f>ROUND((O574*S578*E574*N574/1000000),4)</f>
        <v>1.6400000000000001E-2</v>
      </c>
      <c r="Z578" s="385">
        <f>ROUND((P574*T578*E574*N574/1000000),4)</f>
        <v>0</v>
      </c>
      <c r="AA578" s="385">
        <f>ROUND((Q574*U578*E574*N574/1000000),4)</f>
        <v>0</v>
      </c>
      <c r="AB578" s="931" t="s">
        <v>61</v>
      </c>
      <c r="AC578" s="932" t="s">
        <v>62</v>
      </c>
      <c r="AD578" s="933">
        <f>ROUND((((W578*D574)/1800)),4)</f>
        <v>5.7000000000000002E-3</v>
      </c>
      <c r="AE578" s="933">
        <f>ROUND(((Y578+Z578+AA578)),4)</f>
        <v>1.6400000000000001E-2</v>
      </c>
      <c r="AF578" s="61"/>
      <c r="AG578" s="61"/>
      <c r="AH578" s="61"/>
      <c r="AI578" s="61"/>
    </row>
    <row r="579" spans="1:35" s="417" customFormat="1" ht="15" customHeight="1" x14ac:dyDescent="0.2">
      <c r="A579" s="563"/>
      <c r="B579" s="214"/>
      <c r="C579" s="214"/>
      <c r="D579" s="210"/>
      <c r="E579" s="210"/>
      <c r="F579" s="210"/>
      <c r="G579" s="210"/>
      <c r="H579" s="210"/>
      <c r="I579" s="210"/>
      <c r="J579" s="210"/>
      <c r="K579" s="210">
        <v>1.29</v>
      </c>
      <c r="L579" s="210">
        <v>1.57</v>
      </c>
      <c r="M579" s="210"/>
      <c r="N579" s="210"/>
      <c r="O579" s="210"/>
      <c r="P579" s="210"/>
      <c r="Q579" s="210"/>
      <c r="R579" s="133">
        <v>2.4</v>
      </c>
      <c r="S579" s="134">
        <f>ROUND((K579*H574+1.3*K579*J574+R579*G574),4)</f>
        <v>578.40750000000003</v>
      </c>
      <c r="T579" s="134">
        <f>ROUND((L579*0.9*H574+1.3*L579*0.9*J574+R579*G574),4)</f>
        <v>619.82780000000002</v>
      </c>
      <c r="U579" s="134">
        <f>ROUND((L579*H574+1.3*L579*J574+R579*G574),4)</f>
        <v>672.69749999999999</v>
      </c>
      <c r="V579" s="134">
        <f>ROUND((K579*I574+1.3*K579*M574+R579*F574),4)</f>
        <v>49.23</v>
      </c>
      <c r="W579" s="134">
        <f>ROUND((L579*0.9*I574+1.3*L579*0.9*M574+R579*F574),4)</f>
        <v>52.551000000000002</v>
      </c>
      <c r="X579" s="134">
        <f>ROUND((L579*I574+1.3*L579*M574+R579*F574),4)</f>
        <v>56.79</v>
      </c>
      <c r="Y579" s="394">
        <f>ROUND((O574*S579*E574*N574/1000000),4)</f>
        <v>0.10009999999999999</v>
      </c>
      <c r="Z579" s="394">
        <f>ROUND((P574*T579*E574*N574/1000000),4)</f>
        <v>0</v>
      </c>
      <c r="AA579" s="394">
        <f>ROUND((Q574*U579*E574*N574/1000000),4)</f>
        <v>0</v>
      </c>
      <c r="AB579" s="931" t="s">
        <v>65</v>
      </c>
      <c r="AC579" s="932" t="s">
        <v>66</v>
      </c>
      <c r="AD579" s="933">
        <f>ROUND((((W579*D574)/1800)),4)</f>
        <v>2.92E-2</v>
      </c>
      <c r="AE579" s="933">
        <f>ROUND(((Y579+Z579+AA579)),4)</f>
        <v>0.10009999999999999</v>
      </c>
      <c r="AF579" s="61">
        <f>SUM(AD574:AD579)</f>
        <v>8.2100000000000006E-2</v>
      </c>
      <c r="AG579" s="61">
        <f>SUM(AE574:AE579)</f>
        <v>0.29530000000000001</v>
      </c>
      <c r="AH579" s="61"/>
      <c r="AI579" s="61"/>
    </row>
    <row r="580" spans="1:35" s="417" customFormat="1" ht="15" customHeight="1" x14ac:dyDescent="0.2">
      <c r="A580" s="1449" t="s">
        <v>701</v>
      </c>
      <c r="B580" s="1450"/>
      <c r="C580" s="1451"/>
      <c r="D580" s="1451"/>
      <c r="E580" s="1451"/>
      <c r="F580" s="1451"/>
      <c r="G580" s="1451"/>
      <c r="H580" s="1451"/>
      <c r="I580" s="1451"/>
      <c r="J580" s="1451"/>
      <c r="K580" s="1451"/>
      <c r="L580" s="1451"/>
      <c r="M580" s="1451"/>
      <c r="N580" s="1451"/>
      <c r="O580" s="1451"/>
      <c r="P580" s="1451"/>
      <c r="Q580" s="1451"/>
      <c r="R580" s="1451"/>
      <c r="S580" s="1451"/>
      <c r="T580" s="1451"/>
      <c r="U580" s="1451"/>
      <c r="V580" s="1451"/>
      <c r="W580" s="1451"/>
      <c r="X580" s="1451"/>
      <c r="Y580" s="1451"/>
      <c r="Z580" s="1451"/>
      <c r="AA580" s="1451"/>
      <c r="AB580" s="1451"/>
      <c r="AC580" s="1451"/>
      <c r="AD580" s="1451"/>
      <c r="AE580" s="1452"/>
      <c r="AF580" s="61"/>
      <c r="AG580" s="61"/>
      <c r="AH580" s="61"/>
      <c r="AI580" s="61"/>
    </row>
    <row r="581" spans="1:35" s="417" customFormat="1" ht="15" customHeight="1" x14ac:dyDescent="0.2">
      <c r="A581" s="551" t="s">
        <v>585</v>
      </c>
      <c r="B581" s="398" t="s">
        <v>343</v>
      </c>
      <c r="C581" s="212">
        <v>4</v>
      </c>
      <c r="D581" s="170">
        <v>1</v>
      </c>
      <c r="E581" s="170">
        <v>1</v>
      </c>
      <c r="F581" s="170">
        <v>6</v>
      </c>
      <c r="G581" s="170">
        <v>60</v>
      </c>
      <c r="H581" s="170">
        <f>(8-1-0.75*2)*60*E581-J581-8*0.12*60</f>
        <v>57.900000000000006</v>
      </c>
      <c r="I581" s="170">
        <v>14</v>
      </c>
      <c r="J581" s="170">
        <f>(8-1-0.75*2)*0.65*60*E581</f>
        <v>214.5</v>
      </c>
      <c r="K581" s="170">
        <v>2.4700000000000002</v>
      </c>
      <c r="L581" s="170">
        <v>2.4700000000000002</v>
      </c>
      <c r="M581" s="170">
        <v>10</v>
      </c>
      <c r="N581" s="170">
        <f>D581/E581</f>
        <v>1</v>
      </c>
      <c r="O581" s="170">
        <v>173</v>
      </c>
      <c r="P581" s="170">
        <v>0</v>
      </c>
      <c r="Q581" s="211">
        <v>0</v>
      </c>
      <c r="R581" s="170">
        <v>0.48</v>
      </c>
      <c r="S581" s="207">
        <f>ROUND((K581*H581+1.3*K581*J581+R581*G581),4)</f>
        <v>860.57249999999999</v>
      </c>
      <c r="T581" s="207">
        <f>ROUND((L581*H581+1.3*L581*J581+R581*G581),4)</f>
        <v>860.57249999999999</v>
      </c>
      <c r="U581" s="207">
        <f>ROUND((L581*H581+1.3*L581*J581+R581*G581),4)</f>
        <v>860.57249999999999</v>
      </c>
      <c r="V581" s="207">
        <f>ROUND((K581*I581+1.3*K581*M581+R581*F581),4)</f>
        <v>69.569999999999993</v>
      </c>
      <c r="W581" s="207">
        <f>ROUND((L581*I581+1.3*L581*M581+R581*F581),4)</f>
        <v>69.569999999999993</v>
      </c>
      <c r="X581" s="207">
        <f>ROUND((L581*I581+1.3*L581*M581+R581*F581),4)</f>
        <v>69.569999999999993</v>
      </c>
      <c r="Y581" s="385">
        <f>ROUND((O581*S581*E581*N581/1000000),4)</f>
        <v>0.1489</v>
      </c>
      <c r="Z581" s="385">
        <f>ROUND((P581*T581*E581*N581/1000000),4)</f>
        <v>0</v>
      </c>
      <c r="AA581" s="385">
        <f>ROUND((Q581*U581*E581*N581/1000000),4)</f>
        <v>0</v>
      </c>
      <c r="AB581" s="931" t="s">
        <v>48</v>
      </c>
      <c r="AC581" s="932" t="s">
        <v>49</v>
      </c>
      <c r="AD581" s="933">
        <f>ROUND((((W581*D581)/1800)*0.8),4)</f>
        <v>3.09E-2</v>
      </c>
      <c r="AE581" s="933">
        <f>ROUND(((Y581+Z581+AA581)*0.8),4)</f>
        <v>0.1191</v>
      </c>
      <c r="AF581" s="61"/>
      <c r="AG581" s="61"/>
      <c r="AH581" s="61"/>
      <c r="AI581" s="61"/>
    </row>
    <row r="582" spans="1:35" s="417" customFormat="1" ht="15" customHeight="1" x14ac:dyDescent="0.2">
      <c r="A582" s="552" t="s">
        <v>492</v>
      </c>
      <c r="B582" s="399" t="s">
        <v>359</v>
      </c>
      <c r="C582" s="387"/>
      <c r="D582" s="209"/>
      <c r="E582" s="209"/>
      <c r="F582" s="209"/>
      <c r="G582" s="209"/>
      <c r="H582" s="209"/>
      <c r="I582" s="209"/>
      <c r="J582" s="209"/>
      <c r="K582" s="209"/>
      <c r="L582" s="209"/>
      <c r="M582" s="209"/>
      <c r="N582" s="209"/>
      <c r="O582" s="209"/>
      <c r="P582" s="209"/>
      <c r="Q582" s="209"/>
      <c r="R582" s="388"/>
      <c r="S582" s="215"/>
      <c r="T582" s="215"/>
      <c r="U582" s="215"/>
      <c r="V582" s="215"/>
      <c r="W582" s="215"/>
      <c r="X582" s="215"/>
      <c r="Y582" s="215"/>
      <c r="Z582" s="215"/>
      <c r="AA582" s="215"/>
      <c r="AB582" s="931" t="s">
        <v>51</v>
      </c>
      <c r="AC582" s="932" t="s">
        <v>52</v>
      </c>
      <c r="AD582" s="933">
        <f>ROUND((((W581*D581)/1800)*0.13),4)</f>
        <v>5.0000000000000001E-3</v>
      </c>
      <c r="AE582" s="933">
        <f>ROUND(((Y581+Z581+AA581)*0.13),4)</f>
        <v>1.9400000000000001E-2</v>
      </c>
      <c r="AF582" s="61"/>
      <c r="AG582" s="61"/>
      <c r="AH582" s="61"/>
      <c r="AI582" s="61"/>
    </row>
    <row r="583" spans="1:35" s="417" customFormat="1" ht="15" customHeight="1" x14ac:dyDescent="0.2">
      <c r="A583" s="558"/>
      <c r="B583" s="387" t="s">
        <v>360</v>
      </c>
      <c r="C583" s="389"/>
      <c r="D583" s="209"/>
      <c r="E583" s="209"/>
      <c r="F583" s="209"/>
      <c r="G583" s="209"/>
      <c r="H583" s="209"/>
      <c r="I583" s="209"/>
      <c r="J583" s="209"/>
      <c r="K583" s="209">
        <v>0.19</v>
      </c>
      <c r="L583" s="209">
        <v>0.23</v>
      </c>
      <c r="M583" s="209"/>
      <c r="N583" s="209"/>
      <c r="O583" s="209"/>
      <c r="P583" s="209"/>
      <c r="Q583" s="209"/>
      <c r="R583" s="133">
        <v>9.7000000000000003E-2</v>
      </c>
      <c r="S583" s="207">
        <f>ROUND((K583*H581+1.3*K583*J581+R583*G581),4)</f>
        <v>69.802499999999995</v>
      </c>
      <c r="T583" s="207">
        <f>ROUND((L583*0.9*H581+1.3*L583*0.9*J581+R583*G581),4)</f>
        <v>75.527299999999997</v>
      </c>
      <c r="U583" s="207">
        <f>ROUND((L583*H581+1.3*L583*J581+R583*G581),4)</f>
        <v>83.272499999999994</v>
      </c>
      <c r="V583" s="207">
        <f>ROUND((K583*I581+1.3*K583*M581+R583*F581),4)</f>
        <v>5.7119999999999997</v>
      </c>
      <c r="W583" s="207">
        <f>ROUND((L583*0.9*I581+1.3*L583*0.9*M581+R583*F581),4)</f>
        <v>6.1710000000000003</v>
      </c>
      <c r="X583" s="207">
        <f>ROUND((L583*I581+1.3*L583*M581+R583*F581),4)</f>
        <v>6.7919999999999998</v>
      </c>
      <c r="Y583" s="385">
        <f>ROUND((O581*S583*E581*N581/1000000),4)</f>
        <v>1.21E-2</v>
      </c>
      <c r="Z583" s="385">
        <f>ROUND((P581*T583*E581*N581/1000000),4)</f>
        <v>0</v>
      </c>
      <c r="AA583" s="385">
        <f>ROUND((Q581*U583*E581*N581/1000000),4)</f>
        <v>0</v>
      </c>
      <c r="AB583" s="931" t="s">
        <v>56</v>
      </c>
      <c r="AC583" s="932" t="s">
        <v>57</v>
      </c>
      <c r="AD583" s="933">
        <f>ROUND((((W583*D581)/1800)),4)</f>
        <v>3.3999999999999998E-3</v>
      </c>
      <c r="AE583" s="933">
        <f>ROUND(((Y583+Z583+AA583)),5)</f>
        <v>1.21E-2</v>
      </c>
      <c r="AF583" s="61"/>
      <c r="AG583" s="61"/>
      <c r="AH583" s="61"/>
      <c r="AI583" s="61"/>
    </row>
    <row r="584" spans="1:35" s="417" customFormat="1" ht="15" customHeight="1" x14ac:dyDescent="0.2">
      <c r="A584" s="558"/>
      <c r="B584" s="387"/>
      <c r="C584" s="387"/>
      <c r="D584" s="209"/>
      <c r="E584" s="209"/>
      <c r="F584" s="209"/>
      <c r="G584" s="209"/>
      <c r="H584" s="209"/>
      <c r="I584" s="209"/>
      <c r="J584" s="209"/>
      <c r="K584" s="209">
        <v>0.43</v>
      </c>
      <c r="L584" s="209">
        <v>0.51</v>
      </c>
      <c r="M584" s="209"/>
      <c r="N584" s="209"/>
      <c r="O584" s="209"/>
      <c r="P584" s="209"/>
      <c r="Q584" s="209"/>
      <c r="R584" s="133">
        <v>0.3</v>
      </c>
      <c r="S584" s="207">
        <f>ROUND((K584*H581+1.3*K584*J581+R584*G581),4)</f>
        <v>162.80250000000001</v>
      </c>
      <c r="T584" s="207">
        <f>ROUND((L584*0.9*H581+1.3*L584*0.9*J581+R584*G581),4)</f>
        <v>172.56829999999999</v>
      </c>
      <c r="U584" s="207">
        <f>ROUND((L584*H581+1.3*L584*J581+R584*G581),4)</f>
        <v>189.74250000000001</v>
      </c>
      <c r="V584" s="207">
        <f>ROUND((K584*I581+1.3*K584*M581+R584*F581),4)</f>
        <v>13.41</v>
      </c>
      <c r="W584" s="207">
        <f>ROUND((L584*0.9*I581+1.3*L584*0.9*M581+R584*F581),4)</f>
        <v>14.193</v>
      </c>
      <c r="X584" s="207">
        <f>ROUND((L584*I581+1.3*M581+R584*F581),4)</f>
        <v>21.94</v>
      </c>
      <c r="Y584" s="385">
        <f>ROUND((O581*S584*E581*N581/1000000),4)</f>
        <v>2.8199999999999999E-2</v>
      </c>
      <c r="Z584" s="385">
        <f>ROUND((P581*T584*E581*N581/1000000),4)</f>
        <v>0</v>
      </c>
      <c r="AA584" s="385">
        <f>ROUND((Q581*U584*E581*N581/1000000),4)</f>
        <v>0</v>
      </c>
      <c r="AB584" s="931" t="s">
        <v>177</v>
      </c>
      <c r="AC584" s="932" t="s">
        <v>178</v>
      </c>
      <c r="AD584" s="933">
        <f>ROUND((((W584*D581)/1800)),4)</f>
        <v>7.9000000000000008E-3</v>
      </c>
      <c r="AE584" s="933">
        <f>ROUND(((Y584+Z584+AA584)),4)</f>
        <v>2.8199999999999999E-2</v>
      </c>
      <c r="AF584" s="61"/>
      <c r="AG584" s="61"/>
      <c r="AH584" s="61"/>
      <c r="AI584" s="61"/>
    </row>
    <row r="585" spans="1:35" s="417" customFormat="1" ht="15" customHeight="1" x14ac:dyDescent="0.2">
      <c r="A585" s="558"/>
      <c r="B585" s="387"/>
      <c r="C585" s="387"/>
      <c r="D585" s="209"/>
      <c r="E585" s="209"/>
      <c r="F585" s="209"/>
      <c r="G585" s="209"/>
      <c r="H585" s="209"/>
      <c r="I585" s="209"/>
      <c r="J585" s="209"/>
      <c r="K585" s="209">
        <v>0.27</v>
      </c>
      <c r="L585" s="209">
        <v>0.41</v>
      </c>
      <c r="M585" s="209"/>
      <c r="N585" s="209"/>
      <c r="O585" s="209"/>
      <c r="P585" s="209"/>
      <c r="Q585" s="209"/>
      <c r="R585" s="133">
        <v>0.06</v>
      </c>
      <c r="S585" s="207">
        <f>ROUND((K585*H581+1.3*K585*J581+R585*G581),4)</f>
        <v>94.522499999999994</v>
      </c>
      <c r="T585" s="207">
        <f>ROUND((L585*0.9*H581+1.3*L585*0.9*J581+R585*G581),4)</f>
        <v>127.8608</v>
      </c>
      <c r="U585" s="207">
        <f>ROUND((L585*H581+1.3*L585*J581+R585*G581),4)</f>
        <v>141.66749999999999</v>
      </c>
      <c r="V585" s="207">
        <f>ROUND((K585*I581+1.3*K585*M581+R585*F581),4)</f>
        <v>7.65</v>
      </c>
      <c r="W585" s="207">
        <f>ROUND((L585*0.9*I581+1.3*L585*0.9*M581+R585*F581),4)</f>
        <v>10.323</v>
      </c>
      <c r="X585" s="207">
        <f>ROUND((L585*I581+1.3*L585*M581+R585*F581),4)</f>
        <v>11.43</v>
      </c>
      <c r="Y585" s="385">
        <f>ROUND((O581*S585*E581*N581/1000000),4)</f>
        <v>1.6400000000000001E-2</v>
      </c>
      <c r="Z585" s="385">
        <f>ROUND((P581*T585*E581*N581/1000000),4)</f>
        <v>0</v>
      </c>
      <c r="AA585" s="385">
        <f>ROUND((Q581*U585*E581*N581/1000000),4)</f>
        <v>0</v>
      </c>
      <c r="AB585" s="931" t="s">
        <v>61</v>
      </c>
      <c r="AC585" s="932" t="s">
        <v>62</v>
      </c>
      <c r="AD585" s="933">
        <f>ROUND((((W585*D581)/1800)),4)</f>
        <v>5.7000000000000002E-3</v>
      </c>
      <c r="AE585" s="933">
        <f>ROUND(((Y585+Z585+AA585)),4)</f>
        <v>1.6400000000000001E-2</v>
      </c>
      <c r="AF585" s="61"/>
      <c r="AG585" s="61"/>
      <c r="AH585" s="61"/>
      <c r="AI585" s="61"/>
    </row>
    <row r="586" spans="1:35" s="417" customFormat="1" ht="15" customHeight="1" x14ac:dyDescent="0.2">
      <c r="A586" s="563"/>
      <c r="B586" s="214"/>
      <c r="C586" s="214"/>
      <c r="D586" s="210"/>
      <c r="E586" s="210"/>
      <c r="F586" s="210"/>
      <c r="G586" s="210"/>
      <c r="H586" s="210"/>
      <c r="I586" s="210"/>
      <c r="J586" s="210"/>
      <c r="K586" s="210">
        <v>1.29</v>
      </c>
      <c r="L586" s="210">
        <v>1.57</v>
      </c>
      <c r="M586" s="210"/>
      <c r="N586" s="210"/>
      <c r="O586" s="210"/>
      <c r="P586" s="210"/>
      <c r="Q586" s="210"/>
      <c r="R586" s="133">
        <v>2.4</v>
      </c>
      <c r="S586" s="134">
        <f>ROUND((K586*H581+1.3*K586*J581+R586*G581),4)</f>
        <v>578.40750000000003</v>
      </c>
      <c r="T586" s="134">
        <f>ROUND((L586*0.9*H581+1.3*L586*0.9*J581+R586*G581),4)</f>
        <v>619.82780000000002</v>
      </c>
      <c r="U586" s="134">
        <f>ROUND((L586*H581+1.3*L586*J581+R586*G581),4)</f>
        <v>672.69749999999999</v>
      </c>
      <c r="V586" s="134">
        <f>ROUND((K586*I581+1.3*K586*M581+R586*F581),4)</f>
        <v>49.23</v>
      </c>
      <c r="W586" s="134">
        <f>ROUND((L586*0.9*I581+1.3*L586*0.9*M581+R586*F581),4)</f>
        <v>52.551000000000002</v>
      </c>
      <c r="X586" s="134">
        <f>ROUND((L586*I581+1.3*L586*M581+R586*F581),4)</f>
        <v>56.79</v>
      </c>
      <c r="Y586" s="394">
        <f>ROUND((O581*S586*E581*N581/1000000),4)</f>
        <v>0.10009999999999999</v>
      </c>
      <c r="Z586" s="394">
        <f>ROUND((P581*T586*E581*N581/1000000),4)</f>
        <v>0</v>
      </c>
      <c r="AA586" s="394">
        <f>ROUND((Q581*U586*E581*N581/1000000),4)</f>
        <v>0</v>
      </c>
      <c r="AB586" s="931" t="s">
        <v>65</v>
      </c>
      <c r="AC586" s="932" t="s">
        <v>66</v>
      </c>
      <c r="AD586" s="933">
        <f>ROUND((((W586*D581)/1800)),4)</f>
        <v>2.92E-2</v>
      </c>
      <c r="AE586" s="933">
        <f>ROUND(((Y586+Z586+AA586)),4)</f>
        <v>0.10009999999999999</v>
      </c>
      <c r="AF586" s="61">
        <f>SUM(AD581:AD586)</f>
        <v>8.2100000000000006E-2</v>
      </c>
      <c r="AG586" s="61">
        <f>SUM(AE581:AE586)</f>
        <v>0.29530000000000001</v>
      </c>
      <c r="AH586" s="61"/>
      <c r="AI586" s="61"/>
    </row>
    <row r="587" spans="1:35" s="417" customFormat="1" ht="15" customHeight="1" x14ac:dyDescent="0.2">
      <c r="A587" s="1449" t="s">
        <v>702</v>
      </c>
      <c r="B587" s="1450"/>
      <c r="C587" s="1451"/>
      <c r="D587" s="1451"/>
      <c r="E587" s="1451"/>
      <c r="F587" s="1451"/>
      <c r="G587" s="1451"/>
      <c r="H587" s="1451"/>
      <c r="I587" s="1451"/>
      <c r="J587" s="1451"/>
      <c r="K587" s="1451"/>
      <c r="L587" s="1451"/>
      <c r="M587" s="1451"/>
      <c r="N587" s="1451"/>
      <c r="O587" s="1451"/>
      <c r="P587" s="1451"/>
      <c r="Q587" s="1451"/>
      <c r="R587" s="1451"/>
      <c r="S587" s="1451"/>
      <c r="T587" s="1451"/>
      <c r="U587" s="1451"/>
      <c r="V587" s="1451"/>
      <c r="W587" s="1451"/>
      <c r="X587" s="1451"/>
      <c r="Y587" s="1451"/>
      <c r="Z587" s="1451"/>
      <c r="AA587" s="1451"/>
      <c r="AB587" s="1451"/>
      <c r="AC587" s="1451"/>
      <c r="AD587" s="1451"/>
      <c r="AE587" s="1452"/>
      <c r="AF587" s="61"/>
      <c r="AG587" s="61"/>
      <c r="AH587" s="61"/>
      <c r="AI587" s="61"/>
    </row>
    <row r="588" spans="1:35" s="417" customFormat="1" ht="15" customHeight="1" x14ac:dyDescent="0.2">
      <c r="A588" s="551" t="s">
        <v>589</v>
      </c>
      <c r="B588" s="398" t="s">
        <v>343</v>
      </c>
      <c r="C588" s="212">
        <v>4</v>
      </c>
      <c r="D588" s="170">
        <v>1</v>
      </c>
      <c r="E588" s="170">
        <v>1</v>
      </c>
      <c r="F588" s="170">
        <v>6</v>
      </c>
      <c r="G588" s="170">
        <v>60</v>
      </c>
      <c r="H588" s="170">
        <f>(8-1-0.75*2)*60*E588-J588-8*0.12*60</f>
        <v>57.900000000000006</v>
      </c>
      <c r="I588" s="170">
        <v>14</v>
      </c>
      <c r="J588" s="170">
        <f>(8-1-0.75*2)*0.65*60*E588</f>
        <v>214.5</v>
      </c>
      <c r="K588" s="170">
        <v>2.4700000000000002</v>
      </c>
      <c r="L588" s="170">
        <v>2.4700000000000002</v>
      </c>
      <c r="M588" s="170">
        <v>10</v>
      </c>
      <c r="N588" s="170">
        <f>D588/E588</f>
        <v>1</v>
      </c>
      <c r="O588" s="170">
        <v>173</v>
      </c>
      <c r="P588" s="170">
        <v>0</v>
      </c>
      <c r="Q588" s="211">
        <v>0</v>
      </c>
      <c r="R588" s="170">
        <v>0.48</v>
      </c>
      <c r="S588" s="207">
        <f>ROUND((K588*H588+1.3*K588*J588+R588*G588),4)</f>
        <v>860.57249999999999</v>
      </c>
      <c r="T588" s="207">
        <f>ROUND((L588*H588+1.3*L588*J588+R588*G588),4)</f>
        <v>860.57249999999999</v>
      </c>
      <c r="U588" s="207">
        <f>ROUND((L588*H588+1.3*L588*J588+R588*G588),4)</f>
        <v>860.57249999999999</v>
      </c>
      <c r="V588" s="207">
        <f>ROUND((K588*I588+1.3*K588*M588+R588*F588),4)</f>
        <v>69.569999999999993</v>
      </c>
      <c r="W588" s="207">
        <f>ROUND((L588*I588+1.3*L588*M588+R588*F588),4)</f>
        <v>69.569999999999993</v>
      </c>
      <c r="X588" s="207">
        <f>ROUND((L588*I588+1.3*L588*M588+R588*F588),4)</f>
        <v>69.569999999999993</v>
      </c>
      <c r="Y588" s="385">
        <f>ROUND((O588*S588*E588*N588/1000000),4)</f>
        <v>0.1489</v>
      </c>
      <c r="Z588" s="385">
        <f>ROUND((P588*T588*E588*N588/1000000),4)</f>
        <v>0</v>
      </c>
      <c r="AA588" s="385">
        <f>ROUND((Q588*U588*E588*N588/1000000),4)</f>
        <v>0</v>
      </c>
      <c r="AB588" s="931" t="s">
        <v>48</v>
      </c>
      <c r="AC588" s="932" t="s">
        <v>49</v>
      </c>
      <c r="AD588" s="933">
        <f>ROUND((((W588*D588)/1800)*0.8),4)</f>
        <v>3.09E-2</v>
      </c>
      <c r="AE588" s="933">
        <f>ROUND(((Y588+Z588+AA588)*0.8),4)</f>
        <v>0.1191</v>
      </c>
      <c r="AF588" s="61"/>
      <c r="AG588" s="61"/>
      <c r="AH588" s="61"/>
      <c r="AI588" s="61"/>
    </row>
    <row r="589" spans="1:35" s="417" customFormat="1" ht="15" customHeight="1" x14ac:dyDescent="0.2">
      <c r="A589" s="552" t="s">
        <v>492</v>
      </c>
      <c r="B589" s="399" t="s">
        <v>359</v>
      </c>
      <c r="C589" s="387"/>
      <c r="D589" s="209"/>
      <c r="E589" s="209"/>
      <c r="F589" s="209"/>
      <c r="G589" s="209"/>
      <c r="H589" s="209"/>
      <c r="I589" s="209"/>
      <c r="J589" s="209"/>
      <c r="K589" s="209"/>
      <c r="L589" s="209"/>
      <c r="M589" s="209"/>
      <c r="N589" s="209"/>
      <c r="O589" s="209"/>
      <c r="P589" s="209"/>
      <c r="Q589" s="209"/>
      <c r="R589" s="388"/>
      <c r="S589" s="215"/>
      <c r="T589" s="215"/>
      <c r="U589" s="215"/>
      <c r="V589" s="215"/>
      <c r="W589" s="215"/>
      <c r="X589" s="215"/>
      <c r="Y589" s="215"/>
      <c r="Z589" s="215"/>
      <c r="AA589" s="215"/>
      <c r="AB589" s="931" t="s">
        <v>51</v>
      </c>
      <c r="AC589" s="932" t="s">
        <v>52</v>
      </c>
      <c r="AD589" s="933">
        <f>ROUND((((W588*D588)/1800)*0.13),4)</f>
        <v>5.0000000000000001E-3</v>
      </c>
      <c r="AE589" s="933">
        <f>ROUND(((Y588+Z588+AA588)*0.13),4)</f>
        <v>1.9400000000000001E-2</v>
      </c>
      <c r="AF589" s="61"/>
      <c r="AG589" s="61"/>
      <c r="AH589" s="61"/>
      <c r="AI589" s="61"/>
    </row>
    <row r="590" spans="1:35" s="417" customFormat="1" ht="15" customHeight="1" x14ac:dyDescent="0.2">
      <c r="A590" s="558"/>
      <c r="B590" s="387" t="s">
        <v>360</v>
      </c>
      <c r="C590" s="389"/>
      <c r="D590" s="209"/>
      <c r="E590" s="209"/>
      <c r="F590" s="209"/>
      <c r="G590" s="209"/>
      <c r="H590" s="209"/>
      <c r="I590" s="209"/>
      <c r="J590" s="209"/>
      <c r="K590" s="209">
        <v>0.19</v>
      </c>
      <c r="L590" s="209">
        <v>0.23</v>
      </c>
      <c r="M590" s="209"/>
      <c r="N590" s="209"/>
      <c r="O590" s="209"/>
      <c r="P590" s="209"/>
      <c r="Q590" s="209"/>
      <c r="R590" s="133">
        <v>9.7000000000000003E-2</v>
      </c>
      <c r="S590" s="207">
        <f>ROUND((K590*H588+1.3*K590*J588+R590*G588),4)</f>
        <v>69.802499999999995</v>
      </c>
      <c r="T590" s="207">
        <f>ROUND((L590*0.9*H588+1.3*L590*0.9*J588+R590*G588),4)</f>
        <v>75.527299999999997</v>
      </c>
      <c r="U590" s="207">
        <f>ROUND((L590*H588+1.3*L590*J588+R590*G588),4)</f>
        <v>83.272499999999994</v>
      </c>
      <c r="V590" s="207">
        <f>ROUND((K590*I588+1.3*K590*M588+R590*F588),4)</f>
        <v>5.7119999999999997</v>
      </c>
      <c r="W590" s="207">
        <f>ROUND((L590*0.9*I588+1.3*L590*0.9*M588+R590*F588),4)</f>
        <v>6.1710000000000003</v>
      </c>
      <c r="X590" s="207">
        <f>ROUND((L590*I588+1.3*L590*M588+R590*F588),4)</f>
        <v>6.7919999999999998</v>
      </c>
      <c r="Y590" s="385">
        <f>ROUND((O588*S590*E588*N588/1000000),4)</f>
        <v>1.21E-2</v>
      </c>
      <c r="Z590" s="385">
        <f>ROUND((P588*T590*E588*N588/1000000),4)</f>
        <v>0</v>
      </c>
      <c r="AA590" s="385">
        <f>ROUND((Q588*U590*E588*N588/1000000),4)</f>
        <v>0</v>
      </c>
      <c r="AB590" s="931" t="s">
        <v>56</v>
      </c>
      <c r="AC590" s="932" t="s">
        <v>57</v>
      </c>
      <c r="AD590" s="933">
        <f>ROUND((((W590*D588)/1800)),4)</f>
        <v>3.3999999999999998E-3</v>
      </c>
      <c r="AE590" s="933">
        <f>ROUND(((Y590+Z590+AA590)),5)</f>
        <v>1.21E-2</v>
      </c>
      <c r="AF590" s="61"/>
      <c r="AG590" s="61"/>
      <c r="AH590" s="61"/>
      <c r="AI590" s="61"/>
    </row>
    <row r="591" spans="1:35" s="417" customFormat="1" ht="15" customHeight="1" x14ac:dyDescent="0.2">
      <c r="A591" s="558"/>
      <c r="B591" s="387"/>
      <c r="C591" s="387"/>
      <c r="D591" s="209"/>
      <c r="E591" s="209"/>
      <c r="F591" s="209"/>
      <c r="G591" s="209"/>
      <c r="H591" s="209"/>
      <c r="I591" s="209"/>
      <c r="J591" s="209"/>
      <c r="K591" s="209">
        <v>0.43</v>
      </c>
      <c r="L591" s="209">
        <v>0.51</v>
      </c>
      <c r="M591" s="209"/>
      <c r="N591" s="209"/>
      <c r="O591" s="209"/>
      <c r="P591" s="209"/>
      <c r="Q591" s="209"/>
      <c r="R591" s="133">
        <v>0.3</v>
      </c>
      <c r="S591" s="207">
        <f>ROUND((K591*H588+1.3*K591*J588+R591*G588),4)</f>
        <v>162.80250000000001</v>
      </c>
      <c r="T591" s="207">
        <f>ROUND((L591*0.9*H588+1.3*L591*0.9*J588+R591*G588),4)</f>
        <v>172.56829999999999</v>
      </c>
      <c r="U591" s="207">
        <f>ROUND((L591*H588+1.3*L591*J588+R591*G588),4)</f>
        <v>189.74250000000001</v>
      </c>
      <c r="V591" s="207">
        <f>ROUND((K591*I588+1.3*K591*M588+R591*F588),4)</f>
        <v>13.41</v>
      </c>
      <c r="W591" s="207">
        <f>ROUND((L591*0.9*I588+1.3*L591*0.9*M588+R591*F588),4)</f>
        <v>14.193</v>
      </c>
      <c r="X591" s="207">
        <f>ROUND((L591*I588+1.3*M588+R591*F588),4)</f>
        <v>21.94</v>
      </c>
      <c r="Y591" s="385">
        <f>ROUND((O588*S591*E588*N588/1000000),4)</f>
        <v>2.8199999999999999E-2</v>
      </c>
      <c r="Z591" s="385">
        <f>ROUND((P588*T591*E588*N588/1000000),4)</f>
        <v>0</v>
      </c>
      <c r="AA591" s="385">
        <f>ROUND((Q588*U591*E588*N588/1000000),4)</f>
        <v>0</v>
      </c>
      <c r="AB591" s="931" t="s">
        <v>177</v>
      </c>
      <c r="AC591" s="932" t="s">
        <v>178</v>
      </c>
      <c r="AD591" s="933">
        <f>ROUND((((W591*D588)/1800)),4)</f>
        <v>7.9000000000000008E-3</v>
      </c>
      <c r="AE591" s="933">
        <f>ROUND(((Y591+Z591+AA591)),4)</f>
        <v>2.8199999999999999E-2</v>
      </c>
      <c r="AF591" s="61"/>
      <c r="AG591" s="61"/>
      <c r="AH591" s="61"/>
      <c r="AI591" s="61"/>
    </row>
    <row r="592" spans="1:35" s="417" customFormat="1" ht="15" customHeight="1" x14ac:dyDescent="0.2">
      <c r="A592" s="558"/>
      <c r="B592" s="387"/>
      <c r="C592" s="387"/>
      <c r="D592" s="209"/>
      <c r="E592" s="209"/>
      <c r="F592" s="209"/>
      <c r="G592" s="209"/>
      <c r="H592" s="209"/>
      <c r="I592" s="209"/>
      <c r="J592" s="209"/>
      <c r="K592" s="209">
        <v>0.27</v>
      </c>
      <c r="L592" s="209">
        <v>0.41</v>
      </c>
      <c r="M592" s="209"/>
      <c r="N592" s="209"/>
      <c r="O592" s="209"/>
      <c r="P592" s="209"/>
      <c r="Q592" s="209"/>
      <c r="R592" s="133">
        <v>0.06</v>
      </c>
      <c r="S592" s="207">
        <f>ROUND((K592*H588+1.3*K592*J588+R592*G588),4)</f>
        <v>94.522499999999994</v>
      </c>
      <c r="T592" s="207">
        <f>ROUND((L592*0.9*H588+1.3*L592*0.9*J588+R592*G588),4)</f>
        <v>127.8608</v>
      </c>
      <c r="U592" s="207">
        <f>ROUND((L592*H588+1.3*L592*J588+R592*G588),4)</f>
        <v>141.66749999999999</v>
      </c>
      <c r="V592" s="207">
        <f>ROUND((K592*I588+1.3*K592*M588+R592*F588),4)</f>
        <v>7.65</v>
      </c>
      <c r="W592" s="207">
        <f>ROUND((L592*0.9*I588+1.3*L592*0.9*M588+R592*F588),4)</f>
        <v>10.323</v>
      </c>
      <c r="X592" s="207">
        <f>ROUND((L592*I588+1.3*L592*M588+R592*F588),4)</f>
        <v>11.43</v>
      </c>
      <c r="Y592" s="385">
        <f>ROUND((O588*S592*E588*N588/1000000),4)</f>
        <v>1.6400000000000001E-2</v>
      </c>
      <c r="Z592" s="385">
        <f>ROUND((P588*T592*E588*N588/1000000),4)</f>
        <v>0</v>
      </c>
      <c r="AA592" s="385">
        <f>ROUND((Q588*U592*E588*N588/1000000),4)</f>
        <v>0</v>
      </c>
      <c r="AB592" s="931" t="s">
        <v>61</v>
      </c>
      <c r="AC592" s="932" t="s">
        <v>62</v>
      </c>
      <c r="AD592" s="933">
        <f>ROUND((((W592*D588)/1800)),4)</f>
        <v>5.7000000000000002E-3</v>
      </c>
      <c r="AE592" s="933">
        <f>ROUND(((Y592+Z592+AA592)),4)</f>
        <v>1.6400000000000001E-2</v>
      </c>
      <c r="AF592" s="61"/>
      <c r="AG592" s="61"/>
      <c r="AH592" s="61"/>
      <c r="AI592" s="61"/>
    </row>
    <row r="593" spans="1:35" s="417" customFormat="1" ht="15" customHeight="1" x14ac:dyDescent="0.2">
      <c r="A593" s="563"/>
      <c r="B593" s="214"/>
      <c r="C593" s="214"/>
      <c r="D593" s="210"/>
      <c r="E593" s="210"/>
      <c r="F593" s="210"/>
      <c r="G593" s="210"/>
      <c r="H593" s="210"/>
      <c r="I593" s="210"/>
      <c r="J593" s="210"/>
      <c r="K593" s="210">
        <v>1.29</v>
      </c>
      <c r="L593" s="210">
        <v>1.57</v>
      </c>
      <c r="M593" s="210"/>
      <c r="N593" s="210"/>
      <c r="O593" s="210"/>
      <c r="P593" s="210"/>
      <c r="Q593" s="210"/>
      <c r="R593" s="133">
        <v>2.4</v>
      </c>
      <c r="S593" s="134">
        <f>ROUND((K593*H588+1.3*K593*J588+R593*G588),4)</f>
        <v>578.40750000000003</v>
      </c>
      <c r="T593" s="134">
        <f>ROUND((L593*0.9*H588+1.3*L593*0.9*J588+R593*G588),4)</f>
        <v>619.82780000000002</v>
      </c>
      <c r="U593" s="134">
        <f>ROUND((L593*H588+1.3*L593*J588+R593*G588),4)</f>
        <v>672.69749999999999</v>
      </c>
      <c r="V593" s="134">
        <f>ROUND((K593*I588+1.3*K593*M588+R593*F588),4)</f>
        <v>49.23</v>
      </c>
      <c r="W593" s="134">
        <f>ROUND((L593*0.9*I588+1.3*L593*0.9*M588+R593*F588),4)</f>
        <v>52.551000000000002</v>
      </c>
      <c r="X593" s="134">
        <f>ROUND((L593*I588+1.3*L593*M588+R593*F588),4)</f>
        <v>56.79</v>
      </c>
      <c r="Y593" s="394">
        <f>ROUND((O588*S593*E588*N588/1000000),4)</f>
        <v>0.10009999999999999</v>
      </c>
      <c r="Z593" s="394">
        <f>ROUND((P588*T593*E588*N588/1000000),4)</f>
        <v>0</v>
      </c>
      <c r="AA593" s="394">
        <f>ROUND((Q588*U593*E588*N588/1000000),4)</f>
        <v>0</v>
      </c>
      <c r="AB593" s="931" t="s">
        <v>65</v>
      </c>
      <c r="AC593" s="932" t="s">
        <v>66</v>
      </c>
      <c r="AD593" s="933">
        <f>ROUND((((W593*D588)/1800)),4)</f>
        <v>2.92E-2</v>
      </c>
      <c r="AE593" s="933">
        <f>ROUND(((Y593+Z593+AA593)),4)</f>
        <v>0.10009999999999999</v>
      </c>
      <c r="AF593" s="61">
        <f>SUM(AD588:AD593)</f>
        <v>8.2100000000000006E-2</v>
      </c>
      <c r="AG593" s="61">
        <f>SUM(AE588:AE593)</f>
        <v>0.29530000000000001</v>
      </c>
      <c r="AH593" s="61"/>
      <c r="AI593" s="61"/>
    </row>
    <row r="594" spans="1:35" s="417" customFormat="1" ht="15" customHeight="1" x14ac:dyDescent="0.2">
      <c r="A594" s="1449" t="s">
        <v>703</v>
      </c>
      <c r="B594" s="1450"/>
      <c r="C594" s="1451"/>
      <c r="D594" s="1451"/>
      <c r="E594" s="1451"/>
      <c r="F594" s="1451"/>
      <c r="G594" s="1451"/>
      <c r="H594" s="1451"/>
      <c r="I594" s="1451"/>
      <c r="J594" s="1451"/>
      <c r="K594" s="1451"/>
      <c r="L594" s="1451"/>
      <c r="M594" s="1451"/>
      <c r="N594" s="1451"/>
      <c r="O594" s="1451"/>
      <c r="P594" s="1451"/>
      <c r="Q594" s="1451"/>
      <c r="R594" s="1451"/>
      <c r="S594" s="1451"/>
      <c r="T594" s="1451"/>
      <c r="U594" s="1451"/>
      <c r="V594" s="1451"/>
      <c r="W594" s="1451"/>
      <c r="X594" s="1451"/>
      <c r="Y594" s="1451"/>
      <c r="Z594" s="1451"/>
      <c r="AA594" s="1451"/>
      <c r="AB594" s="1451"/>
      <c r="AC594" s="1451"/>
      <c r="AD594" s="1451"/>
      <c r="AE594" s="1452"/>
      <c r="AF594" s="61"/>
      <c r="AG594" s="61"/>
      <c r="AH594" s="61"/>
      <c r="AI594" s="61"/>
    </row>
    <row r="595" spans="1:35" s="417" customFormat="1" ht="15" customHeight="1" x14ac:dyDescent="0.2">
      <c r="A595" s="551" t="s">
        <v>676</v>
      </c>
      <c r="B595" s="398" t="s">
        <v>343</v>
      </c>
      <c r="C595" s="212">
        <v>4</v>
      </c>
      <c r="D595" s="170">
        <v>1</v>
      </c>
      <c r="E595" s="170">
        <v>1</v>
      </c>
      <c r="F595" s="170">
        <v>6</v>
      </c>
      <c r="G595" s="170">
        <v>60</v>
      </c>
      <c r="H595" s="170">
        <f>(8-1-0.75*2)*60*E595-J595-8*0.12*60</f>
        <v>57.900000000000006</v>
      </c>
      <c r="I595" s="170">
        <v>14</v>
      </c>
      <c r="J595" s="170">
        <f>(8-1-0.75*2)*0.65*60*E595</f>
        <v>214.5</v>
      </c>
      <c r="K595" s="170">
        <v>2.4700000000000002</v>
      </c>
      <c r="L595" s="170">
        <v>2.4700000000000002</v>
      </c>
      <c r="M595" s="170">
        <v>10</v>
      </c>
      <c r="N595" s="170">
        <f>D595/E595</f>
        <v>1</v>
      </c>
      <c r="O595" s="170">
        <v>180</v>
      </c>
      <c r="P595" s="170">
        <v>90</v>
      </c>
      <c r="Q595" s="211">
        <v>95</v>
      </c>
      <c r="R595" s="170">
        <v>0.48</v>
      </c>
      <c r="S595" s="207">
        <f>ROUND((K595*H595+1.3*K595*J595+R595*G595),4)</f>
        <v>860.57249999999999</v>
      </c>
      <c r="T595" s="207">
        <f>ROUND((L595*H595+1.3*L595*J595+R595*G595),4)</f>
        <v>860.57249999999999</v>
      </c>
      <c r="U595" s="207">
        <f>ROUND((L595*H595+1.3*L595*J595+R595*G595),4)</f>
        <v>860.57249999999999</v>
      </c>
      <c r="V595" s="207">
        <f>ROUND((K595*I595+1.3*K595*M595+R595*F595),4)</f>
        <v>69.569999999999993</v>
      </c>
      <c r="W595" s="207">
        <f>ROUND((L595*I595+1.3*L595*M595+R595*F595),4)</f>
        <v>69.569999999999993</v>
      </c>
      <c r="X595" s="207">
        <f>ROUND((L595*I595+1.3*L595*M595+R595*F595),4)</f>
        <v>69.569999999999993</v>
      </c>
      <c r="Y595" s="385">
        <f>ROUND((O595*S595*E595*N595/1000000),4)</f>
        <v>0.15490000000000001</v>
      </c>
      <c r="Z595" s="385">
        <f>ROUND((P595*T595*E595*N595/1000000),4)</f>
        <v>7.7499999999999999E-2</v>
      </c>
      <c r="AA595" s="385">
        <f>ROUND((Q595*U595*E595*N595/1000000),4)</f>
        <v>8.1799999999999998E-2</v>
      </c>
      <c r="AB595" s="931" t="s">
        <v>48</v>
      </c>
      <c r="AC595" s="932" t="s">
        <v>49</v>
      </c>
      <c r="AD595" s="933">
        <f>ROUND((((W595*D595)/1800)*0.8),4)</f>
        <v>3.09E-2</v>
      </c>
      <c r="AE595" s="933">
        <f>ROUND(((Y595+Z595+AA595)*0.8),4)</f>
        <v>0.25140000000000001</v>
      </c>
      <c r="AF595" s="61"/>
      <c r="AG595" s="61"/>
      <c r="AH595" s="61"/>
      <c r="AI595" s="61"/>
    </row>
    <row r="596" spans="1:35" s="417" customFormat="1" ht="15" customHeight="1" x14ac:dyDescent="0.2">
      <c r="A596" s="552" t="s">
        <v>166</v>
      </c>
      <c r="B596" s="399" t="s">
        <v>359</v>
      </c>
      <c r="C596" s="387"/>
      <c r="D596" s="209"/>
      <c r="E596" s="209"/>
      <c r="F596" s="209"/>
      <c r="G596" s="209"/>
      <c r="H596" s="209"/>
      <c r="I596" s="209"/>
      <c r="J596" s="209"/>
      <c r="K596" s="209"/>
      <c r="L596" s="209"/>
      <c r="M596" s="209"/>
      <c r="N596" s="209"/>
      <c r="O596" s="209"/>
      <c r="P596" s="209"/>
      <c r="Q596" s="209"/>
      <c r="R596" s="388"/>
      <c r="S596" s="215"/>
      <c r="T596" s="215"/>
      <c r="U596" s="215"/>
      <c r="V596" s="215"/>
      <c r="W596" s="215"/>
      <c r="X596" s="215"/>
      <c r="Y596" s="215"/>
      <c r="Z596" s="215"/>
      <c r="AA596" s="215"/>
      <c r="AB596" s="931" t="s">
        <v>51</v>
      </c>
      <c r="AC596" s="932" t="s">
        <v>52</v>
      </c>
      <c r="AD596" s="933">
        <f>ROUND((((W595*D595)/1800)*0.13),4)</f>
        <v>5.0000000000000001E-3</v>
      </c>
      <c r="AE596" s="933">
        <f>ROUND(((Y595+Z595+AA595)*0.13),4)</f>
        <v>4.0800000000000003E-2</v>
      </c>
      <c r="AF596" s="61"/>
      <c r="AG596" s="61"/>
      <c r="AH596" s="61"/>
      <c r="AI596" s="61"/>
    </row>
    <row r="597" spans="1:35" s="417" customFormat="1" ht="15" customHeight="1" x14ac:dyDescent="0.2">
      <c r="A597" s="558"/>
      <c r="B597" s="387" t="s">
        <v>360</v>
      </c>
      <c r="C597" s="389"/>
      <c r="D597" s="209"/>
      <c r="E597" s="209"/>
      <c r="F597" s="209"/>
      <c r="G597" s="209"/>
      <c r="H597" s="209"/>
      <c r="I597" s="209"/>
      <c r="J597" s="209"/>
      <c r="K597" s="209">
        <v>0.19</v>
      </c>
      <c r="L597" s="209">
        <v>0.23</v>
      </c>
      <c r="M597" s="209"/>
      <c r="N597" s="209"/>
      <c r="O597" s="209"/>
      <c r="P597" s="209"/>
      <c r="Q597" s="209"/>
      <c r="R597" s="133">
        <v>9.7000000000000003E-2</v>
      </c>
      <c r="S597" s="207">
        <f>ROUND((K597*H595+1.3*K597*J595+R597*G595),4)</f>
        <v>69.802499999999995</v>
      </c>
      <c r="T597" s="207">
        <f>ROUND((L597*0.9*H595+1.3*L597*0.9*J595+R597*G595),4)</f>
        <v>75.527299999999997</v>
      </c>
      <c r="U597" s="207">
        <f>ROUND((L597*H595+1.3*L597*J595+R597*G595),4)</f>
        <v>83.272499999999994</v>
      </c>
      <c r="V597" s="207">
        <f>ROUND((K597*I595+1.3*K597*M595+R597*F595),4)</f>
        <v>5.7119999999999997</v>
      </c>
      <c r="W597" s="207">
        <f>ROUND((L597*0.9*I595+1.3*L597*0.9*M595+R597*F595),4)</f>
        <v>6.1710000000000003</v>
      </c>
      <c r="X597" s="207">
        <f>ROUND((L597*I595+1.3*L597*M595+R597*F595),4)</f>
        <v>6.7919999999999998</v>
      </c>
      <c r="Y597" s="385">
        <f>ROUND((O595*S597*E595*N595/1000000),4)</f>
        <v>1.26E-2</v>
      </c>
      <c r="Z597" s="385">
        <f>ROUND((P595*T597*E595*N595/1000000),4)</f>
        <v>6.7999999999999996E-3</v>
      </c>
      <c r="AA597" s="385">
        <f>ROUND((Q595*U597*E595*N595/1000000),4)</f>
        <v>7.9000000000000008E-3</v>
      </c>
      <c r="AB597" s="931" t="s">
        <v>56</v>
      </c>
      <c r="AC597" s="932" t="s">
        <v>57</v>
      </c>
      <c r="AD597" s="933">
        <f>ROUND((((W597*D595)/1800)),4)</f>
        <v>3.3999999999999998E-3</v>
      </c>
      <c r="AE597" s="933">
        <f>ROUND(((Y597+Z597+AA597)),5)</f>
        <v>2.7300000000000001E-2</v>
      </c>
      <c r="AF597" s="61"/>
      <c r="AG597" s="61"/>
      <c r="AH597" s="61"/>
      <c r="AI597" s="61"/>
    </row>
    <row r="598" spans="1:35" s="417" customFormat="1" ht="15" customHeight="1" x14ac:dyDescent="0.2">
      <c r="A598" s="558"/>
      <c r="B598" s="387"/>
      <c r="C598" s="387"/>
      <c r="D598" s="209"/>
      <c r="E598" s="209"/>
      <c r="F598" s="209"/>
      <c r="G598" s="209"/>
      <c r="H598" s="209"/>
      <c r="I598" s="209"/>
      <c r="J598" s="209"/>
      <c r="K598" s="209">
        <v>0.43</v>
      </c>
      <c r="L598" s="209">
        <v>0.51</v>
      </c>
      <c r="M598" s="209"/>
      <c r="N598" s="209"/>
      <c r="O598" s="209"/>
      <c r="P598" s="209"/>
      <c r="Q598" s="209"/>
      <c r="R598" s="133">
        <v>0.3</v>
      </c>
      <c r="S598" s="207">
        <f>ROUND((K598*H595+1.3*K598*J595+R598*G595),4)</f>
        <v>162.80250000000001</v>
      </c>
      <c r="T598" s="207">
        <f>ROUND((L598*0.9*H595+1.3*L598*0.9*J595+R598*G595),4)</f>
        <v>172.56829999999999</v>
      </c>
      <c r="U598" s="207">
        <f>ROUND((L598*H595+1.3*L598*J595+R598*G595),4)</f>
        <v>189.74250000000001</v>
      </c>
      <c r="V598" s="207">
        <f>ROUND((K598*I595+1.3*K598*M595+R598*F595),4)</f>
        <v>13.41</v>
      </c>
      <c r="W598" s="207">
        <f>ROUND((L598*0.9*I595+1.3*L598*0.9*M595+R598*F595),4)</f>
        <v>14.193</v>
      </c>
      <c r="X598" s="207">
        <f>ROUND((L598*I595+1.3*M595+R598*F595),4)</f>
        <v>21.94</v>
      </c>
      <c r="Y598" s="385">
        <f>ROUND((O595*S598*E595*N595/1000000),4)</f>
        <v>2.93E-2</v>
      </c>
      <c r="Z598" s="385">
        <f>ROUND((P595*T598*E595*N595/1000000),4)</f>
        <v>1.55E-2</v>
      </c>
      <c r="AA598" s="385">
        <f>ROUND((Q595*U598*E595*N595/1000000),4)</f>
        <v>1.7999999999999999E-2</v>
      </c>
      <c r="AB598" s="931" t="s">
        <v>177</v>
      </c>
      <c r="AC598" s="932" t="s">
        <v>178</v>
      </c>
      <c r="AD598" s="933">
        <f>ROUND((((W598*D595)/1800)),4)</f>
        <v>7.9000000000000008E-3</v>
      </c>
      <c r="AE598" s="933">
        <f>ROUND(((Y598+Z598+AA598)),4)</f>
        <v>6.2799999999999995E-2</v>
      </c>
      <c r="AF598" s="61"/>
      <c r="AG598" s="61"/>
      <c r="AH598" s="61"/>
      <c r="AI598" s="61"/>
    </row>
    <row r="599" spans="1:35" s="417" customFormat="1" ht="15" customHeight="1" x14ac:dyDescent="0.2">
      <c r="A599" s="558"/>
      <c r="B599" s="387"/>
      <c r="C599" s="387"/>
      <c r="D599" s="209"/>
      <c r="E599" s="209"/>
      <c r="F599" s="209"/>
      <c r="G599" s="209"/>
      <c r="H599" s="209"/>
      <c r="I599" s="209"/>
      <c r="J599" s="209"/>
      <c r="K599" s="209">
        <v>0.27</v>
      </c>
      <c r="L599" s="209">
        <v>0.41</v>
      </c>
      <c r="M599" s="209"/>
      <c r="N599" s="209"/>
      <c r="O599" s="209"/>
      <c r="P599" s="209"/>
      <c r="Q599" s="209"/>
      <c r="R599" s="133">
        <v>0.06</v>
      </c>
      <c r="S599" s="207">
        <f>ROUND((K599*H595+1.3*K599*J595+R599*G595),4)</f>
        <v>94.522499999999994</v>
      </c>
      <c r="T599" s="207">
        <f>ROUND((L599*0.9*H595+1.3*L599*0.9*J595+R599*G595),4)</f>
        <v>127.8608</v>
      </c>
      <c r="U599" s="207">
        <f>ROUND((L599*H595+1.3*L599*J595+R599*G595),4)</f>
        <v>141.66749999999999</v>
      </c>
      <c r="V599" s="207">
        <f>ROUND((K599*I595+1.3*K599*M595+R599*F595),4)</f>
        <v>7.65</v>
      </c>
      <c r="W599" s="207">
        <f>ROUND((L599*0.9*I595+1.3*L599*0.9*M595+R599*F595),4)</f>
        <v>10.323</v>
      </c>
      <c r="X599" s="207">
        <f>ROUND((L599*I595+1.3*L599*M595+R599*F595),4)</f>
        <v>11.43</v>
      </c>
      <c r="Y599" s="385">
        <f>ROUND((O595*S599*E595*N595/1000000),4)</f>
        <v>1.7000000000000001E-2</v>
      </c>
      <c r="Z599" s="385">
        <f>ROUND((P595*T599*E595*N595/1000000),4)</f>
        <v>1.15E-2</v>
      </c>
      <c r="AA599" s="385">
        <f>ROUND((Q595*U599*E595*N595/1000000),4)</f>
        <v>1.35E-2</v>
      </c>
      <c r="AB599" s="931" t="s">
        <v>61</v>
      </c>
      <c r="AC599" s="932" t="s">
        <v>62</v>
      </c>
      <c r="AD599" s="933">
        <f>ROUND((((W599*D595)/1800)),4)</f>
        <v>5.7000000000000002E-3</v>
      </c>
      <c r="AE599" s="933">
        <f>ROUND(((Y599+Z599+AA599)),4)</f>
        <v>4.2000000000000003E-2</v>
      </c>
      <c r="AF599" s="61"/>
      <c r="AG599" s="61"/>
      <c r="AH599" s="61"/>
      <c r="AI599" s="61"/>
    </row>
    <row r="600" spans="1:35" s="417" customFormat="1" ht="15" customHeight="1" x14ac:dyDescent="0.2">
      <c r="A600" s="563"/>
      <c r="B600" s="214"/>
      <c r="C600" s="214"/>
      <c r="D600" s="210"/>
      <c r="E600" s="210"/>
      <c r="F600" s="210"/>
      <c r="G600" s="210"/>
      <c r="H600" s="210"/>
      <c r="I600" s="210"/>
      <c r="J600" s="210"/>
      <c r="K600" s="210">
        <v>1.29</v>
      </c>
      <c r="L600" s="210">
        <v>1.57</v>
      </c>
      <c r="M600" s="210"/>
      <c r="N600" s="210"/>
      <c r="O600" s="210"/>
      <c r="P600" s="210"/>
      <c r="Q600" s="210"/>
      <c r="R600" s="133">
        <v>2.4</v>
      </c>
      <c r="S600" s="134">
        <f>ROUND((K600*H595+1.3*K600*J595+R600*G595),4)</f>
        <v>578.40750000000003</v>
      </c>
      <c r="T600" s="134">
        <f>ROUND((L600*0.9*H595+1.3*L600*0.9*J595+R600*G595),4)</f>
        <v>619.82780000000002</v>
      </c>
      <c r="U600" s="134">
        <f>ROUND((L600*H595+1.3*L600*J595+R600*G595),4)</f>
        <v>672.69749999999999</v>
      </c>
      <c r="V600" s="134">
        <f>ROUND((K600*I595+1.3*K600*M595+R600*F595),4)</f>
        <v>49.23</v>
      </c>
      <c r="W600" s="134">
        <f>ROUND((L600*0.9*I595+1.3*L600*0.9*M595+R600*F595),4)</f>
        <v>52.551000000000002</v>
      </c>
      <c r="X600" s="134">
        <f>ROUND((L600*I595+1.3*L600*M595+R600*F595),4)</f>
        <v>56.79</v>
      </c>
      <c r="Y600" s="394">
        <f>ROUND((O595*S600*E595*N595/1000000),4)</f>
        <v>0.1041</v>
      </c>
      <c r="Z600" s="394">
        <f>ROUND((P595*T600*E595*N595/1000000),4)</f>
        <v>5.5800000000000002E-2</v>
      </c>
      <c r="AA600" s="394">
        <f>ROUND((Q595*U600*E595*N595/1000000),4)</f>
        <v>6.3899999999999998E-2</v>
      </c>
      <c r="AB600" s="931" t="s">
        <v>65</v>
      </c>
      <c r="AC600" s="932" t="s">
        <v>66</v>
      </c>
      <c r="AD600" s="933">
        <f>ROUND((((W600*D595)/1800)),4)</f>
        <v>2.92E-2</v>
      </c>
      <c r="AE600" s="933">
        <f>ROUND(((Y600+Z600+AA600)),4)</f>
        <v>0.2238</v>
      </c>
      <c r="AF600" s="61">
        <f>SUM(AD595:AD600)</f>
        <v>8.2100000000000006E-2</v>
      </c>
      <c r="AG600" s="61">
        <f>SUM(AE595:AE600)</f>
        <v>0.6480999999999999</v>
      </c>
      <c r="AH600" s="61"/>
      <c r="AI600" s="61"/>
    </row>
    <row r="601" spans="1:35" s="417" customFormat="1" ht="15" customHeight="1" x14ac:dyDescent="0.2">
      <c r="A601" s="1449" t="s">
        <v>1015</v>
      </c>
      <c r="B601" s="1450"/>
      <c r="C601" s="1451"/>
      <c r="D601" s="1451"/>
      <c r="E601" s="1451"/>
      <c r="F601" s="1451"/>
      <c r="G601" s="1451"/>
      <c r="H601" s="1451"/>
      <c r="I601" s="1451"/>
      <c r="J601" s="1451"/>
      <c r="K601" s="1451"/>
      <c r="L601" s="1451"/>
      <c r="M601" s="1451"/>
      <c r="N601" s="1451"/>
      <c r="O601" s="1451"/>
      <c r="P601" s="1451"/>
      <c r="Q601" s="1451"/>
      <c r="R601" s="1451"/>
      <c r="S601" s="1451"/>
      <c r="T601" s="1451"/>
      <c r="U601" s="1451"/>
      <c r="V601" s="1451"/>
      <c r="W601" s="1451"/>
      <c r="X601" s="1451"/>
      <c r="Y601" s="1451"/>
      <c r="Z601" s="1451"/>
      <c r="AA601" s="1451"/>
      <c r="AB601" s="1451"/>
      <c r="AC601" s="1451"/>
      <c r="AD601" s="1451"/>
      <c r="AE601" s="1452"/>
      <c r="AF601" s="61"/>
      <c r="AG601" s="61"/>
      <c r="AH601" s="61"/>
      <c r="AI601" s="61"/>
    </row>
    <row r="602" spans="1:35" s="417" customFormat="1" ht="15" customHeight="1" x14ac:dyDescent="0.2">
      <c r="A602" s="551" t="s">
        <v>603</v>
      </c>
      <c r="B602" s="398" t="s">
        <v>343</v>
      </c>
      <c r="C602" s="212">
        <v>4</v>
      </c>
      <c r="D602" s="170">
        <v>1</v>
      </c>
      <c r="E602" s="170">
        <v>1</v>
      </c>
      <c r="F602" s="170">
        <v>6</v>
      </c>
      <c r="G602" s="170">
        <v>60</v>
      </c>
      <c r="H602" s="170">
        <f>(8-1-0.75*2)*60*E602-J602-8*0.12*60</f>
        <v>57.900000000000006</v>
      </c>
      <c r="I602" s="170">
        <v>14</v>
      </c>
      <c r="J602" s="170">
        <f>(8-1-0.75*2)*0.65*60*E602</f>
        <v>214.5</v>
      </c>
      <c r="K602" s="170">
        <v>2.4700000000000002</v>
      </c>
      <c r="L602" s="170">
        <v>2.4700000000000002</v>
      </c>
      <c r="M602" s="170">
        <v>10</v>
      </c>
      <c r="N602" s="170">
        <f>D602/E602</f>
        <v>1</v>
      </c>
      <c r="O602" s="170">
        <v>173</v>
      </c>
      <c r="P602" s="170">
        <v>0</v>
      </c>
      <c r="Q602" s="211">
        <v>0</v>
      </c>
      <c r="R602" s="170">
        <v>0.48</v>
      </c>
      <c r="S602" s="207">
        <f>ROUND((K602*H602+1.3*K602*J602+R602*G602),4)</f>
        <v>860.57249999999999</v>
      </c>
      <c r="T602" s="207">
        <f>ROUND((L602*H602+1.3*L602*J602+R602*G602),4)</f>
        <v>860.57249999999999</v>
      </c>
      <c r="U602" s="207">
        <f>ROUND((L602*H602+1.3*L602*J602+R602*G602),4)</f>
        <v>860.57249999999999</v>
      </c>
      <c r="V602" s="207">
        <f>ROUND((K602*I602+1.3*K602*M602+R602*F602),4)</f>
        <v>69.569999999999993</v>
      </c>
      <c r="W602" s="207">
        <f>ROUND((L602*I602+1.3*L602*M602+R602*F602),4)</f>
        <v>69.569999999999993</v>
      </c>
      <c r="X602" s="207">
        <f>ROUND((L602*I602+1.3*L602*M602+R602*F602),4)</f>
        <v>69.569999999999993</v>
      </c>
      <c r="Y602" s="385">
        <f>ROUND((O602*S602*E602*N602/1000000),4)</f>
        <v>0.1489</v>
      </c>
      <c r="Z602" s="385">
        <f>ROUND((P602*T602*E602*N602/1000000),4)</f>
        <v>0</v>
      </c>
      <c r="AA602" s="385">
        <f>ROUND((Q602*U602*E602*N602/1000000),4)</f>
        <v>0</v>
      </c>
      <c r="AB602" s="931" t="s">
        <v>48</v>
      </c>
      <c r="AC602" s="932" t="s">
        <v>49</v>
      </c>
      <c r="AD602" s="933">
        <f>ROUND((((W602*D602)/1800)*0.8),4)</f>
        <v>3.09E-2</v>
      </c>
      <c r="AE602" s="933">
        <f>ROUND(((Y602+Z602+AA602)*0.8),4)</f>
        <v>0.1191</v>
      </c>
      <c r="AF602" s="61"/>
      <c r="AG602" s="61"/>
      <c r="AH602" s="61"/>
      <c r="AI602" s="61"/>
    </row>
    <row r="603" spans="1:35" s="417" customFormat="1" ht="15" customHeight="1" x14ac:dyDescent="0.2">
      <c r="A603" s="552" t="s">
        <v>166</v>
      </c>
      <c r="B603" s="399" t="s">
        <v>359</v>
      </c>
      <c r="C603" s="387"/>
      <c r="D603" s="209"/>
      <c r="E603" s="209"/>
      <c r="F603" s="209"/>
      <c r="G603" s="209"/>
      <c r="H603" s="209"/>
      <c r="I603" s="209"/>
      <c r="J603" s="209"/>
      <c r="K603" s="209"/>
      <c r="L603" s="209"/>
      <c r="M603" s="209"/>
      <c r="N603" s="209"/>
      <c r="O603" s="209"/>
      <c r="P603" s="209"/>
      <c r="Q603" s="209"/>
      <c r="R603" s="388"/>
      <c r="S603" s="215"/>
      <c r="T603" s="215"/>
      <c r="U603" s="215"/>
      <c r="V603" s="215"/>
      <c r="W603" s="215"/>
      <c r="X603" s="215"/>
      <c r="Y603" s="215"/>
      <c r="Z603" s="215"/>
      <c r="AA603" s="215"/>
      <c r="AB603" s="931" t="s">
        <v>51</v>
      </c>
      <c r="AC603" s="932" t="s">
        <v>52</v>
      </c>
      <c r="AD603" s="933">
        <f>ROUND((((W602*D602)/1800)*0.13),4)</f>
        <v>5.0000000000000001E-3</v>
      </c>
      <c r="AE603" s="933">
        <f>ROUND(((Y602+Z602+AA602)*0.13),4)</f>
        <v>1.9400000000000001E-2</v>
      </c>
      <c r="AF603" s="61"/>
      <c r="AG603" s="61"/>
      <c r="AH603" s="61"/>
      <c r="AI603" s="61"/>
    </row>
    <row r="604" spans="1:35" s="417" customFormat="1" ht="15" customHeight="1" x14ac:dyDescent="0.2">
      <c r="A604" s="558"/>
      <c r="B604" s="387" t="s">
        <v>360</v>
      </c>
      <c r="C604" s="389"/>
      <c r="D604" s="209"/>
      <c r="E604" s="209"/>
      <c r="F604" s="209"/>
      <c r="G604" s="209"/>
      <c r="H604" s="209"/>
      <c r="I604" s="209"/>
      <c r="J604" s="209"/>
      <c r="K604" s="209">
        <v>0.19</v>
      </c>
      <c r="L604" s="209">
        <v>0.23</v>
      </c>
      <c r="M604" s="209"/>
      <c r="N604" s="209"/>
      <c r="O604" s="209"/>
      <c r="P604" s="209"/>
      <c r="Q604" s="209"/>
      <c r="R604" s="133">
        <v>9.7000000000000003E-2</v>
      </c>
      <c r="S604" s="207">
        <f>ROUND((K604*H602+1.3*K604*J602+R604*G602),4)</f>
        <v>69.802499999999995</v>
      </c>
      <c r="T604" s="207">
        <f>ROUND((L604*0.9*H602+1.3*L604*0.9*J602+R604*G602),4)</f>
        <v>75.527299999999997</v>
      </c>
      <c r="U604" s="207">
        <f>ROUND((L604*H602+1.3*L604*J602+R604*G602),4)</f>
        <v>83.272499999999994</v>
      </c>
      <c r="V604" s="207">
        <f>ROUND((K604*I602+1.3*K604*M602+R604*F602),4)</f>
        <v>5.7119999999999997</v>
      </c>
      <c r="W604" s="207">
        <f>ROUND((L604*0.9*I602+1.3*L604*0.9*M602+R604*F602),4)</f>
        <v>6.1710000000000003</v>
      </c>
      <c r="X604" s="207">
        <f>ROUND((L604*I602+1.3*L604*M602+R604*F602),4)</f>
        <v>6.7919999999999998</v>
      </c>
      <c r="Y604" s="385">
        <f>ROUND((O602*S604*E602*N602/1000000),4)</f>
        <v>1.21E-2</v>
      </c>
      <c r="Z604" s="385">
        <f>ROUND((P602*T604*E602*N602/1000000),4)</f>
        <v>0</v>
      </c>
      <c r="AA604" s="385">
        <f>ROUND((Q602*U604*E602*N602/1000000),4)</f>
        <v>0</v>
      </c>
      <c r="AB604" s="931" t="s">
        <v>56</v>
      </c>
      <c r="AC604" s="932" t="s">
        <v>57</v>
      </c>
      <c r="AD604" s="933">
        <f>ROUND((((W604*D602)/1800)),4)</f>
        <v>3.3999999999999998E-3</v>
      </c>
      <c r="AE604" s="933">
        <f>ROUND(((Y604+Z604+AA604)),5)</f>
        <v>1.21E-2</v>
      </c>
      <c r="AF604" s="61"/>
      <c r="AG604" s="61"/>
      <c r="AH604" s="61"/>
      <c r="AI604" s="61"/>
    </row>
    <row r="605" spans="1:35" s="417" customFormat="1" ht="15" customHeight="1" x14ac:dyDescent="0.2">
      <c r="A605" s="558"/>
      <c r="B605" s="387"/>
      <c r="C605" s="387"/>
      <c r="D605" s="209"/>
      <c r="E605" s="209"/>
      <c r="F605" s="209"/>
      <c r="G605" s="209"/>
      <c r="H605" s="209"/>
      <c r="I605" s="209"/>
      <c r="J605" s="209"/>
      <c r="K605" s="209">
        <v>0.43</v>
      </c>
      <c r="L605" s="209">
        <v>0.51</v>
      </c>
      <c r="M605" s="209"/>
      <c r="N605" s="209"/>
      <c r="O605" s="209"/>
      <c r="P605" s="209"/>
      <c r="Q605" s="209"/>
      <c r="R605" s="133">
        <v>0.3</v>
      </c>
      <c r="S605" s="207">
        <f>ROUND((K605*H602+1.3*K605*J602+R605*G602),4)</f>
        <v>162.80250000000001</v>
      </c>
      <c r="T605" s="207">
        <f>ROUND((L605*0.9*H602+1.3*L605*0.9*J602+R605*G602),4)</f>
        <v>172.56829999999999</v>
      </c>
      <c r="U605" s="207">
        <f>ROUND((L605*H602+1.3*L605*J602+R605*G602),4)</f>
        <v>189.74250000000001</v>
      </c>
      <c r="V605" s="207">
        <f>ROUND((K605*I602+1.3*K605*M602+R605*F602),4)</f>
        <v>13.41</v>
      </c>
      <c r="W605" s="207">
        <f>ROUND((L605*0.9*I602+1.3*L605*0.9*M602+R605*F602),4)</f>
        <v>14.193</v>
      </c>
      <c r="X605" s="207">
        <f>ROUND((L605*I602+1.3*M602+R605*F602),4)</f>
        <v>21.94</v>
      </c>
      <c r="Y605" s="385">
        <f>ROUND((O602*S605*E602*N602/1000000),4)</f>
        <v>2.8199999999999999E-2</v>
      </c>
      <c r="Z605" s="385">
        <f>ROUND((P602*T605*E602*N602/1000000),4)</f>
        <v>0</v>
      </c>
      <c r="AA605" s="385">
        <f>ROUND((Q602*U605*E602*N602/1000000),4)</f>
        <v>0</v>
      </c>
      <c r="AB605" s="931" t="s">
        <v>177</v>
      </c>
      <c r="AC605" s="932" t="s">
        <v>178</v>
      </c>
      <c r="AD605" s="933">
        <f>ROUND((((W605*D602)/1800)),4)</f>
        <v>7.9000000000000008E-3</v>
      </c>
      <c r="AE605" s="933">
        <f>ROUND(((Y605+Z605+AA605)),4)</f>
        <v>2.8199999999999999E-2</v>
      </c>
      <c r="AF605" s="61"/>
      <c r="AG605" s="61"/>
      <c r="AH605" s="61"/>
      <c r="AI605" s="61"/>
    </row>
    <row r="606" spans="1:35" s="417" customFormat="1" ht="15" customHeight="1" x14ac:dyDescent="0.2">
      <c r="A606" s="558"/>
      <c r="B606" s="387"/>
      <c r="C606" s="387"/>
      <c r="D606" s="209"/>
      <c r="E606" s="209"/>
      <c r="F606" s="209"/>
      <c r="G606" s="209"/>
      <c r="H606" s="209"/>
      <c r="I606" s="209"/>
      <c r="J606" s="209"/>
      <c r="K606" s="209">
        <v>0.27</v>
      </c>
      <c r="L606" s="209">
        <v>0.41</v>
      </c>
      <c r="M606" s="209"/>
      <c r="N606" s="209"/>
      <c r="O606" s="209"/>
      <c r="P606" s="209"/>
      <c r="Q606" s="209"/>
      <c r="R606" s="133">
        <v>0.06</v>
      </c>
      <c r="S606" s="207">
        <f>ROUND((K606*H602+1.3*K606*J602+R606*G602),4)</f>
        <v>94.522499999999994</v>
      </c>
      <c r="T606" s="207">
        <f>ROUND((L606*0.9*H602+1.3*L606*0.9*J602+R606*G602),4)</f>
        <v>127.8608</v>
      </c>
      <c r="U606" s="207">
        <f>ROUND((L606*H602+1.3*L606*J602+R606*G602),4)</f>
        <v>141.66749999999999</v>
      </c>
      <c r="V606" s="207">
        <f>ROUND((K606*I602+1.3*K606*M602+R606*F602),4)</f>
        <v>7.65</v>
      </c>
      <c r="W606" s="207">
        <f>ROUND((L606*0.9*I602+1.3*L606*0.9*M602+R606*F602),4)</f>
        <v>10.323</v>
      </c>
      <c r="X606" s="207">
        <f>ROUND((L606*I602+1.3*L606*M602+R606*F602),4)</f>
        <v>11.43</v>
      </c>
      <c r="Y606" s="385">
        <f>ROUND((O602*S606*E602*N602/1000000),4)</f>
        <v>1.6400000000000001E-2</v>
      </c>
      <c r="Z606" s="385">
        <f>ROUND((P602*T606*E602*N602/1000000),4)</f>
        <v>0</v>
      </c>
      <c r="AA606" s="385">
        <f>ROUND((Q602*U606*E602*N602/1000000),4)</f>
        <v>0</v>
      </c>
      <c r="AB606" s="931" t="s">
        <v>61</v>
      </c>
      <c r="AC606" s="932" t="s">
        <v>62</v>
      </c>
      <c r="AD606" s="933">
        <f>ROUND((((W606*D602)/1800)),4)</f>
        <v>5.7000000000000002E-3</v>
      </c>
      <c r="AE606" s="933">
        <f>ROUND(((Y606+Z606+AA606)),4)</f>
        <v>1.6400000000000001E-2</v>
      </c>
      <c r="AF606" s="61"/>
      <c r="AG606" s="61"/>
      <c r="AH606" s="61"/>
      <c r="AI606" s="61"/>
    </row>
    <row r="607" spans="1:35" s="417" customFormat="1" ht="15" customHeight="1" x14ac:dyDescent="0.2">
      <c r="A607" s="563"/>
      <c r="B607" s="214"/>
      <c r="C607" s="214"/>
      <c r="D607" s="210"/>
      <c r="E607" s="210"/>
      <c r="F607" s="210"/>
      <c r="G607" s="210"/>
      <c r="H607" s="210"/>
      <c r="I607" s="210"/>
      <c r="J607" s="210"/>
      <c r="K607" s="210">
        <v>1.29</v>
      </c>
      <c r="L607" s="210">
        <v>1.57</v>
      </c>
      <c r="M607" s="210"/>
      <c r="N607" s="210"/>
      <c r="O607" s="210"/>
      <c r="P607" s="210"/>
      <c r="Q607" s="210"/>
      <c r="R607" s="133">
        <v>2.4</v>
      </c>
      <c r="S607" s="134">
        <f>ROUND((K607*H602+1.3*K607*J602+R607*G602),4)</f>
        <v>578.40750000000003</v>
      </c>
      <c r="T607" s="134">
        <f>ROUND((L607*0.9*H602+1.3*L607*0.9*J602+R607*G602),4)</f>
        <v>619.82780000000002</v>
      </c>
      <c r="U607" s="134">
        <f>ROUND((L607*H602+1.3*L607*J602+R607*G602),4)</f>
        <v>672.69749999999999</v>
      </c>
      <c r="V607" s="134">
        <f>ROUND((K607*I602+1.3*K607*M602+R607*F602),4)</f>
        <v>49.23</v>
      </c>
      <c r="W607" s="134">
        <f>ROUND((L607*0.9*I602+1.3*L607*0.9*M602+R607*F602),4)</f>
        <v>52.551000000000002</v>
      </c>
      <c r="X607" s="134">
        <f>ROUND((L607*I602+1.3*L607*M602+R607*F602),4)</f>
        <v>56.79</v>
      </c>
      <c r="Y607" s="394">
        <f>ROUND((O602*S607*E602*N602/1000000),4)</f>
        <v>0.10009999999999999</v>
      </c>
      <c r="Z607" s="394">
        <f>ROUND((P602*T607*E602*N602/1000000),4)</f>
        <v>0</v>
      </c>
      <c r="AA607" s="394">
        <f>ROUND((Q602*U607*E602*N602/1000000),4)</f>
        <v>0</v>
      </c>
      <c r="AB607" s="931" t="s">
        <v>65</v>
      </c>
      <c r="AC607" s="932" t="s">
        <v>66</v>
      </c>
      <c r="AD607" s="933">
        <f>ROUND((((W607*D602)/1800)),4)</f>
        <v>2.92E-2</v>
      </c>
      <c r="AE607" s="933">
        <f>ROUND(((Y607+Z607+AA607)),4)</f>
        <v>0.10009999999999999</v>
      </c>
      <c r="AF607" s="61">
        <f>SUM(AD602:AD607)</f>
        <v>8.2100000000000006E-2</v>
      </c>
      <c r="AG607" s="61">
        <f>SUM(AE602:AE607)</f>
        <v>0.29530000000000001</v>
      </c>
      <c r="AH607" s="61"/>
      <c r="AI607" s="61"/>
    </row>
    <row r="608" spans="1:35" s="417" customFormat="1" ht="15" customHeight="1" x14ac:dyDescent="0.2">
      <c r="A608" s="1449" t="s">
        <v>1016</v>
      </c>
      <c r="B608" s="1450"/>
      <c r="C608" s="1451"/>
      <c r="D608" s="1451"/>
      <c r="E608" s="1451"/>
      <c r="F608" s="1451"/>
      <c r="G608" s="1451"/>
      <c r="H608" s="1451"/>
      <c r="I608" s="1451"/>
      <c r="J608" s="1451"/>
      <c r="K608" s="1451"/>
      <c r="L608" s="1451"/>
      <c r="M608" s="1451"/>
      <c r="N608" s="1451"/>
      <c r="O608" s="1451"/>
      <c r="P608" s="1451"/>
      <c r="Q608" s="1451"/>
      <c r="R608" s="1451"/>
      <c r="S608" s="1451"/>
      <c r="T608" s="1451"/>
      <c r="U608" s="1451"/>
      <c r="V608" s="1451"/>
      <c r="W608" s="1451"/>
      <c r="X608" s="1451"/>
      <c r="Y608" s="1451"/>
      <c r="Z608" s="1451"/>
      <c r="AA608" s="1451"/>
      <c r="AB608" s="1451"/>
      <c r="AC608" s="1451"/>
      <c r="AD608" s="1451"/>
      <c r="AE608" s="1452"/>
      <c r="AF608" s="61"/>
      <c r="AG608" s="61"/>
      <c r="AH608" s="61"/>
      <c r="AI608" s="61"/>
    </row>
    <row r="609" spans="1:35" s="417" customFormat="1" ht="15" customHeight="1" x14ac:dyDescent="0.2">
      <c r="A609" s="551" t="s">
        <v>679</v>
      </c>
      <c r="B609" s="398" t="s">
        <v>343</v>
      </c>
      <c r="C609" s="212">
        <v>4</v>
      </c>
      <c r="D609" s="170">
        <v>1</v>
      </c>
      <c r="E609" s="170">
        <v>1</v>
      </c>
      <c r="F609" s="170">
        <v>6</v>
      </c>
      <c r="G609" s="170">
        <v>60</v>
      </c>
      <c r="H609" s="170">
        <f>(8-1-0.75*2)*60*E609-J609-8*0.12*60</f>
        <v>57.900000000000006</v>
      </c>
      <c r="I609" s="170">
        <v>14</v>
      </c>
      <c r="J609" s="170">
        <f>(8-1-0.75*2)*0.65*60*E609</f>
        <v>214.5</v>
      </c>
      <c r="K609" s="170">
        <v>2.4700000000000002</v>
      </c>
      <c r="L609" s="170">
        <v>2.4700000000000002</v>
      </c>
      <c r="M609" s="170">
        <v>10</v>
      </c>
      <c r="N609" s="170">
        <f>D609/E609</f>
        <v>1</v>
      </c>
      <c r="O609" s="170">
        <v>173</v>
      </c>
      <c r="P609" s="170">
        <v>0</v>
      </c>
      <c r="Q609" s="211">
        <v>0</v>
      </c>
      <c r="R609" s="170">
        <v>0.48</v>
      </c>
      <c r="S609" s="207">
        <f>ROUND((K609*H609+1.3*K609*J609+R609*G609),4)</f>
        <v>860.57249999999999</v>
      </c>
      <c r="T609" s="207">
        <f>ROUND((L609*H609+1.3*L609*J609+R609*G609),4)</f>
        <v>860.57249999999999</v>
      </c>
      <c r="U609" s="207">
        <f>ROUND((L609*H609+1.3*L609*J609+R609*G609),4)</f>
        <v>860.57249999999999</v>
      </c>
      <c r="V609" s="207">
        <f>ROUND((K609*I609+1.3*K609*M609+R609*F609),4)</f>
        <v>69.569999999999993</v>
      </c>
      <c r="W609" s="207">
        <f>ROUND((L609*I609+1.3*L609*M609+R609*F609),4)</f>
        <v>69.569999999999993</v>
      </c>
      <c r="X609" s="207">
        <f>ROUND((L609*I609+1.3*L609*M609+R609*F609),4)</f>
        <v>69.569999999999993</v>
      </c>
      <c r="Y609" s="385">
        <f>ROUND((O609*S609*E609*N609/1000000),4)</f>
        <v>0.1489</v>
      </c>
      <c r="Z609" s="385">
        <f>ROUND((P609*T609*E609*N609/1000000),4)</f>
        <v>0</v>
      </c>
      <c r="AA609" s="385">
        <f>ROUND((Q609*U609*E609*N609/1000000),4)</f>
        <v>0</v>
      </c>
      <c r="AB609" s="931" t="s">
        <v>48</v>
      </c>
      <c r="AC609" s="932" t="s">
        <v>49</v>
      </c>
      <c r="AD609" s="933">
        <f>ROUND((((W609*D609)/1800)*0.8),4)</f>
        <v>3.09E-2</v>
      </c>
      <c r="AE609" s="933">
        <f>ROUND(((Y609+Z609+AA609)*0.8),4)</f>
        <v>0.1191</v>
      </c>
      <c r="AF609" s="61"/>
      <c r="AG609" s="61"/>
      <c r="AH609" s="61"/>
      <c r="AI609" s="61"/>
    </row>
    <row r="610" spans="1:35" s="417" customFormat="1" ht="15" customHeight="1" x14ac:dyDescent="0.2">
      <c r="A610" s="552" t="s">
        <v>166</v>
      </c>
      <c r="B610" s="399" t="s">
        <v>359</v>
      </c>
      <c r="C610" s="387"/>
      <c r="D610" s="209"/>
      <c r="E610" s="209"/>
      <c r="F610" s="209"/>
      <c r="G610" s="209"/>
      <c r="H610" s="209"/>
      <c r="I610" s="209"/>
      <c r="J610" s="209"/>
      <c r="K610" s="209"/>
      <c r="L610" s="209"/>
      <c r="M610" s="209"/>
      <c r="N610" s="209"/>
      <c r="O610" s="209"/>
      <c r="P610" s="209"/>
      <c r="Q610" s="209"/>
      <c r="R610" s="388"/>
      <c r="S610" s="215"/>
      <c r="T610" s="215"/>
      <c r="U610" s="215"/>
      <c r="V610" s="215"/>
      <c r="W610" s="215"/>
      <c r="X610" s="215"/>
      <c r="Y610" s="215"/>
      <c r="Z610" s="215"/>
      <c r="AA610" s="215"/>
      <c r="AB610" s="931" t="s">
        <v>51</v>
      </c>
      <c r="AC610" s="932" t="s">
        <v>52</v>
      </c>
      <c r="AD610" s="933">
        <f>ROUND((((W609*D609)/1800)*0.13),4)</f>
        <v>5.0000000000000001E-3</v>
      </c>
      <c r="AE610" s="933">
        <f>ROUND(((Y609+Z609+AA609)*0.13),4)</f>
        <v>1.9400000000000001E-2</v>
      </c>
      <c r="AF610" s="61"/>
      <c r="AG610" s="61"/>
      <c r="AH610" s="61"/>
      <c r="AI610" s="61"/>
    </row>
    <row r="611" spans="1:35" s="417" customFormat="1" ht="15" customHeight="1" x14ac:dyDescent="0.2">
      <c r="A611" s="558"/>
      <c r="B611" s="387" t="s">
        <v>360</v>
      </c>
      <c r="C611" s="389"/>
      <c r="D611" s="209"/>
      <c r="E611" s="209"/>
      <c r="F611" s="209"/>
      <c r="G611" s="209"/>
      <c r="H611" s="209"/>
      <c r="I611" s="209"/>
      <c r="J611" s="209"/>
      <c r="K611" s="209">
        <v>0.19</v>
      </c>
      <c r="L611" s="209">
        <v>0.23</v>
      </c>
      <c r="M611" s="209"/>
      <c r="N611" s="209"/>
      <c r="O611" s="209"/>
      <c r="P611" s="209"/>
      <c r="Q611" s="209"/>
      <c r="R611" s="133">
        <v>9.7000000000000003E-2</v>
      </c>
      <c r="S611" s="207">
        <f>ROUND((K611*H609+1.3*K611*J609+R611*G609),4)</f>
        <v>69.802499999999995</v>
      </c>
      <c r="T611" s="207">
        <f>ROUND((L611*0.9*H609+1.3*L611*0.9*J609+R611*G609),4)</f>
        <v>75.527299999999997</v>
      </c>
      <c r="U611" s="207">
        <f>ROUND((L611*H609+1.3*L611*J609+R611*G609),4)</f>
        <v>83.272499999999994</v>
      </c>
      <c r="V611" s="207">
        <f>ROUND((K611*I609+1.3*K611*M609+R611*F609),4)</f>
        <v>5.7119999999999997</v>
      </c>
      <c r="W611" s="207">
        <f>ROUND((L611*0.9*I609+1.3*L611*0.9*M609+R611*F609),4)</f>
        <v>6.1710000000000003</v>
      </c>
      <c r="X611" s="207">
        <f>ROUND((L611*I609+1.3*L611*M609+R611*F609),4)</f>
        <v>6.7919999999999998</v>
      </c>
      <c r="Y611" s="385">
        <f>ROUND((O609*S611*E609*N609/1000000),4)</f>
        <v>1.21E-2</v>
      </c>
      <c r="Z611" s="385">
        <f>ROUND((P609*T611*E609*N609/1000000),4)</f>
        <v>0</v>
      </c>
      <c r="AA611" s="385">
        <f>ROUND((Q609*U611*E609*N609/1000000),4)</f>
        <v>0</v>
      </c>
      <c r="AB611" s="931" t="s">
        <v>56</v>
      </c>
      <c r="AC611" s="932" t="s">
        <v>57</v>
      </c>
      <c r="AD611" s="933">
        <f>ROUND((((W611*D609)/1800)),4)</f>
        <v>3.3999999999999998E-3</v>
      </c>
      <c r="AE611" s="933">
        <f>ROUND(((Y611+Z611+AA611)),5)</f>
        <v>1.21E-2</v>
      </c>
      <c r="AF611" s="61"/>
      <c r="AG611" s="61"/>
      <c r="AH611" s="61"/>
      <c r="AI611" s="61"/>
    </row>
    <row r="612" spans="1:35" s="417" customFormat="1" ht="15" customHeight="1" x14ac:dyDescent="0.2">
      <c r="A612" s="558"/>
      <c r="B612" s="387"/>
      <c r="C612" s="387"/>
      <c r="D612" s="209"/>
      <c r="E612" s="209"/>
      <c r="F612" s="209"/>
      <c r="G612" s="209"/>
      <c r="H612" s="209"/>
      <c r="I612" s="209"/>
      <c r="J612" s="209"/>
      <c r="K612" s="209">
        <v>0.43</v>
      </c>
      <c r="L612" s="209">
        <v>0.51</v>
      </c>
      <c r="M612" s="209"/>
      <c r="N612" s="209"/>
      <c r="O612" s="209"/>
      <c r="P612" s="209"/>
      <c r="Q612" s="209"/>
      <c r="R612" s="133">
        <v>0.3</v>
      </c>
      <c r="S612" s="207">
        <f>ROUND((K612*H609+1.3*K612*J609+R612*G609),4)</f>
        <v>162.80250000000001</v>
      </c>
      <c r="T612" s="207">
        <f>ROUND((L612*0.9*H609+1.3*L612*0.9*J609+R612*G609),4)</f>
        <v>172.56829999999999</v>
      </c>
      <c r="U612" s="207">
        <f>ROUND((L612*H609+1.3*L612*J609+R612*G609),4)</f>
        <v>189.74250000000001</v>
      </c>
      <c r="V612" s="207">
        <f>ROUND((K612*I609+1.3*K612*M609+R612*F609),4)</f>
        <v>13.41</v>
      </c>
      <c r="W612" s="207">
        <f>ROUND((L612*0.9*I609+1.3*L612*0.9*M609+R612*F609),4)</f>
        <v>14.193</v>
      </c>
      <c r="X612" s="207">
        <f>ROUND((L612*I609+1.3*M609+R612*F609),4)</f>
        <v>21.94</v>
      </c>
      <c r="Y612" s="385">
        <f>ROUND((O609*S612*E609*N609/1000000),4)</f>
        <v>2.8199999999999999E-2</v>
      </c>
      <c r="Z612" s="385">
        <f>ROUND((P609*T612*E609*N609/1000000),4)</f>
        <v>0</v>
      </c>
      <c r="AA612" s="385">
        <f>ROUND((Q609*U612*E609*N609/1000000),4)</f>
        <v>0</v>
      </c>
      <c r="AB612" s="931" t="s">
        <v>177</v>
      </c>
      <c r="AC612" s="932" t="s">
        <v>178</v>
      </c>
      <c r="AD612" s="933">
        <f>ROUND((((W612*D609)/1800)),4)</f>
        <v>7.9000000000000008E-3</v>
      </c>
      <c r="AE612" s="933">
        <f>ROUND(((Y612+Z612+AA612)),4)</f>
        <v>2.8199999999999999E-2</v>
      </c>
      <c r="AF612" s="61"/>
      <c r="AG612" s="61"/>
      <c r="AH612" s="61"/>
      <c r="AI612" s="61"/>
    </row>
    <row r="613" spans="1:35" s="417" customFormat="1" ht="15" customHeight="1" x14ac:dyDescent="0.2">
      <c r="A613" s="558"/>
      <c r="B613" s="387"/>
      <c r="C613" s="387"/>
      <c r="D613" s="209"/>
      <c r="E613" s="209"/>
      <c r="F613" s="209"/>
      <c r="G613" s="209"/>
      <c r="H613" s="209"/>
      <c r="I613" s="209"/>
      <c r="J613" s="209"/>
      <c r="K613" s="209">
        <v>0.27</v>
      </c>
      <c r="L613" s="209">
        <v>0.41</v>
      </c>
      <c r="M613" s="209"/>
      <c r="N613" s="209"/>
      <c r="O613" s="209"/>
      <c r="P613" s="209"/>
      <c r="Q613" s="209"/>
      <c r="R613" s="133">
        <v>0.06</v>
      </c>
      <c r="S613" s="207">
        <f>ROUND((K613*H609+1.3*K613*J609+R613*G609),4)</f>
        <v>94.522499999999994</v>
      </c>
      <c r="T613" s="207">
        <f>ROUND((L613*0.9*H609+1.3*L613*0.9*J609+R613*G609),4)</f>
        <v>127.8608</v>
      </c>
      <c r="U613" s="207">
        <f>ROUND((L613*H609+1.3*L613*J609+R613*G609),4)</f>
        <v>141.66749999999999</v>
      </c>
      <c r="V613" s="207">
        <f>ROUND((K613*I609+1.3*K613*M609+R613*F609),4)</f>
        <v>7.65</v>
      </c>
      <c r="W613" s="207">
        <f>ROUND((L613*0.9*I609+1.3*L613*0.9*M609+R613*F609),4)</f>
        <v>10.323</v>
      </c>
      <c r="X613" s="207">
        <f>ROUND((L613*I609+1.3*L613*M609+R613*F609),4)</f>
        <v>11.43</v>
      </c>
      <c r="Y613" s="385">
        <f>ROUND((O609*S613*E609*N609/1000000),4)</f>
        <v>1.6400000000000001E-2</v>
      </c>
      <c r="Z613" s="385">
        <f>ROUND((P609*T613*E609*N609/1000000),4)</f>
        <v>0</v>
      </c>
      <c r="AA613" s="385">
        <f>ROUND((Q609*U613*E609*N609/1000000),4)</f>
        <v>0</v>
      </c>
      <c r="AB613" s="931" t="s">
        <v>61</v>
      </c>
      <c r="AC613" s="932" t="s">
        <v>62</v>
      </c>
      <c r="AD613" s="933">
        <f>ROUND((((W613*D609)/1800)),4)</f>
        <v>5.7000000000000002E-3</v>
      </c>
      <c r="AE613" s="933">
        <f>ROUND(((Y613+Z613+AA613)),4)</f>
        <v>1.6400000000000001E-2</v>
      </c>
      <c r="AF613" s="61"/>
      <c r="AG613" s="61"/>
      <c r="AH613" s="61"/>
      <c r="AI613" s="61"/>
    </row>
    <row r="614" spans="1:35" s="417" customFormat="1" ht="15" customHeight="1" x14ac:dyDescent="0.2">
      <c r="A614" s="563"/>
      <c r="B614" s="214"/>
      <c r="C614" s="214"/>
      <c r="D614" s="210"/>
      <c r="E614" s="210"/>
      <c r="F614" s="210"/>
      <c r="G614" s="210"/>
      <c r="H614" s="210"/>
      <c r="I614" s="210"/>
      <c r="J614" s="210"/>
      <c r="K614" s="210">
        <v>1.29</v>
      </c>
      <c r="L614" s="210">
        <v>1.57</v>
      </c>
      <c r="M614" s="210"/>
      <c r="N614" s="210"/>
      <c r="O614" s="210"/>
      <c r="P614" s="210"/>
      <c r="Q614" s="210"/>
      <c r="R614" s="133">
        <v>2.4</v>
      </c>
      <c r="S614" s="134">
        <f>ROUND((K614*H609+1.3*K614*J609+R614*G609),4)</f>
        <v>578.40750000000003</v>
      </c>
      <c r="T614" s="134">
        <f>ROUND((L614*0.9*H609+1.3*L614*0.9*J609+R614*G609),4)</f>
        <v>619.82780000000002</v>
      </c>
      <c r="U614" s="134">
        <f>ROUND((L614*H609+1.3*L614*J609+R614*G609),4)</f>
        <v>672.69749999999999</v>
      </c>
      <c r="V614" s="134">
        <f>ROUND((K614*I609+1.3*K614*M609+R614*F609),4)</f>
        <v>49.23</v>
      </c>
      <c r="W614" s="134">
        <f>ROUND((L614*0.9*I609+1.3*L614*0.9*M609+R614*F609),4)</f>
        <v>52.551000000000002</v>
      </c>
      <c r="X614" s="134">
        <f>ROUND((L614*I609+1.3*L614*M609+R614*F609),4)</f>
        <v>56.79</v>
      </c>
      <c r="Y614" s="394">
        <f>ROUND((O609*S614*E609*N609/1000000),4)</f>
        <v>0.10009999999999999</v>
      </c>
      <c r="Z614" s="394">
        <f>ROUND((P609*T614*E609*N609/1000000),4)</f>
        <v>0</v>
      </c>
      <c r="AA614" s="394">
        <f>ROUND((Q609*U614*E609*N609/1000000),4)</f>
        <v>0</v>
      </c>
      <c r="AB614" s="931" t="s">
        <v>65</v>
      </c>
      <c r="AC614" s="932" t="s">
        <v>66</v>
      </c>
      <c r="AD614" s="933">
        <f>ROUND((((W614*D609)/1800)),4)</f>
        <v>2.92E-2</v>
      </c>
      <c r="AE614" s="933">
        <f>ROUND(((Y614+Z614+AA614)),4)</f>
        <v>0.10009999999999999</v>
      </c>
      <c r="AF614" s="61">
        <f>SUM(AD609:AD614)</f>
        <v>8.2100000000000006E-2</v>
      </c>
      <c r="AG614" s="61">
        <f>SUM(AE609:AE614)</f>
        <v>0.29530000000000001</v>
      </c>
      <c r="AH614" s="61"/>
      <c r="AI614" s="61"/>
    </row>
    <row r="615" spans="1:35" s="417" customFormat="1" ht="15" customHeight="1" x14ac:dyDescent="0.2">
      <c r="A615" s="1449" t="s">
        <v>1017</v>
      </c>
      <c r="B615" s="1450"/>
      <c r="C615" s="1451"/>
      <c r="D615" s="1451"/>
      <c r="E615" s="1451"/>
      <c r="F615" s="1451"/>
      <c r="G615" s="1451"/>
      <c r="H615" s="1451"/>
      <c r="I615" s="1451"/>
      <c r="J615" s="1451"/>
      <c r="K615" s="1451"/>
      <c r="L615" s="1451"/>
      <c r="M615" s="1451"/>
      <c r="N615" s="1451"/>
      <c r="O615" s="1451"/>
      <c r="P615" s="1451"/>
      <c r="Q615" s="1451"/>
      <c r="R615" s="1451"/>
      <c r="S615" s="1451"/>
      <c r="T615" s="1451"/>
      <c r="U615" s="1451"/>
      <c r="V615" s="1451"/>
      <c r="W615" s="1451"/>
      <c r="X615" s="1451"/>
      <c r="Y615" s="1451"/>
      <c r="Z615" s="1451"/>
      <c r="AA615" s="1451"/>
      <c r="AB615" s="1451"/>
      <c r="AC615" s="1451"/>
      <c r="AD615" s="1451"/>
      <c r="AE615" s="1452"/>
      <c r="AF615" s="61"/>
      <c r="AG615" s="61"/>
      <c r="AH615" s="61"/>
      <c r="AI615" s="61"/>
    </row>
    <row r="616" spans="1:35" s="417" customFormat="1" ht="15" customHeight="1" x14ac:dyDescent="0.2">
      <c r="A616" s="551" t="s">
        <v>131</v>
      </c>
      <c r="B616" s="398" t="s">
        <v>343</v>
      </c>
      <c r="C616" s="212">
        <v>4</v>
      </c>
      <c r="D616" s="170">
        <v>1</v>
      </c>
      <c r="E616" s="170">
        <v>1</v>
      </c>
      <c r="F616" s="170">
        <v>6</v>
      </c>
      <c r="G616" s="170">
        <v>60</v>
      </c>
      <c r="H616" s="170">
        <f>(8-1-0.75*2)*60*E616-J616-8*0.12*60</f>
        <v>57.900000000000006</v>
      </c>
      <c r="I616" s="170">
        <v>14</v>
      </c>
      <c r="J616" s="170">
        <f>(8-1-0.75*2)*0.65*60*E616</f>
        <v>214.5</v>
      </c>
      <c r="K616" s="170">
        <v>2.4700000000000002</v>
      </c>
      <c r="L616" s="170">
        <v>2.4700000000000002</v>
      </c>
      <c r="M616" s="170">
        <v>10</v>
      </c>
      <c r="N616" s="170">
        <f>D616/E616</f>
        <v>1</v>
      </c>
      <c r="O616" s="170">
        <v>173</v>
      </c>
      <c r="P616" s="170">
        <v>0</v>
      </c>
      <c r="Q616" s="211">
        <v>0</v>
      </c>
      <c r="R616" s="170">
        <v>0.48</v>
      </c>
      <c r="S616" s="207">
        <f>ROUND((K616*H616+1.3*K616*J616+R616*G616),4)</f>
        <v>860.57249999999999</v>
      </c>
      <c r="T616" s="207">
        <f>ROUND((L616*H616+1.3*L616*J616+R616*G616),4)</f>
        <v>860.57249999999999</v>
      </c>
      <c r="U616" s="207">
        <f>ROUND((L616*H616+1.3*L616*J616+R616*G616),4)</f>
        <v>860.57249999999999</v>
      </c>
      <c r="V616" s="207">
        <f>ROUND((K616*I616+1.3*K616*M616+R616*F616),4)</f>
        <v>69.569999999999993</v>
      </c>
      <c r="W616" s="207">
        <f>ROUND((L616*I616+1.3*L616*M616+R616*F616),4)</f>
        <v>69.569999999999993</v>
      </c>
      <c r="X616" s="207">
        <f>ROUND((L616*I616+1.3*L616*M616+R616*F616),4)</f>
        <v>69.569999999999993</v>
      </c>
      <c r="Y616" s="385">
        <f>ROUND((O616*S616*E616*N616/1000000),4)</f>
        <v>0.1489</v>
      </c>
      <c r="Z616" s="385">
        <f>ROUND((P616*T616*E616*N616/1000000),4)</f>
        <v>0</v>
      </c>
      <c r="AA616" s="385">
        <f>ROUND((Q616*U616*E616*N616/1000000),4)</f>
        <v>0</v>
      </c>
      <c r="AB616" s="931" t="s">
        <v>48</v>
      </c>
      <c r="AC616" s="932" t="s">
        <v>49</v>
      </c>
      <c r="AD616" s="933">
        <f>ROUND((((W616*D616)/1800)*0.8),4)</f>
        <v>3.09E-2</v>
      </c>
      <c r="AE616" s="933">
        <f>ROUND(((Y616+Z616+AA616)*0.8),4)</f>
        <v>0.1191</v>
      </c>
      <c r="AF616" s="61"/>
      <c r="AG616" s="61"/>
      <c r="AH616" s="61"/>
      <c r="AI616" s="61"/>
    </row>
    <row r="617" spans="1:35" s="417" customFormat="1" ht="15" customHeight="1" x14ac:dyDescent="0.2">
      <c r="A617" s="552" t="s">
        <v>166</v>
      </c>
      <c r="B617" s="399" t="s">
        <v>359</v>
      </c>
      <c r="C617" s="387"/>
      <c r="D617" s="209"/>
      <c r="E617" s="209"/>
      <c r="F617" s="209"/>
      <c r="G617" s="209"/>
      <c r="H617" s="209"/>
      <c r="I617" s="209"/>
      <c r="J617" s="209"/>
      <c r="K617" s="209"/>
      <c r="L617" s="209"/>
      <c r="M617" s="209"/>
      <c r="N617" s="209"/>
      <c r="O617" s="209"/>
      <c r="P617" s="209"/>
      <c r="Q617" s="209"/>
      <c r="R617" s="388"/>
      <c r="S617" s="215"/>
      <c r="T617" s="215"/>
      <c r="U617" s="215"/>
      <c r="V617" s="215"/>
      <c r="W617" s="215"/>
      <c r="X617" s="215"/>
      <c r="Y617" s="215"/>
      <c r="Z617" s="215"/>
      <c r="AA617" s="215"/>
      <c r="AB617" s="931" t="s">
        <v>51</v>
      </c>
      <c r="AC617" s="932" t="s">
        <v>52</v>
      </c>
      <c r="AD617" s="933">
        <f>ROUND((((W616*D616)/1800)*0.13),4)</f>
        <v>5.0000000000000001E-3</v>
      </c>
      <c r="AE617" s="933">
        <f>ROUND(((Y616+Z616+AA616)*0.13),4)</f>
        <v>1.9400000000000001E-2</v>
      </c>
      <c r="AF617" s="61"/>
      <c r="AG617" s="61"/>
      <c r="AH617" s="61"/>
      <c r="AI617" s="61"/>
    </row>
    <row r="618" spans="1:35" s="417" customFormat="1" ht="15" customHeight="1" x14ac:dyDescent="0.2">
      <c r="A618" s="558"/>
      <c r="B618" s="387" t="s">
        <v>360</v>
      </c>
      <c r="C618" s="389"/>
      <c r="D618" s="209"/>
      <c r="E618" s="209"/>
      <c r="F618" s="209"/>
      <c r="G618" s="209"/>
      <c r="H618" s="209"/>
      <c r="I618" s="209"/>
      <c r="J618" s="209"/>
      <c r="K618" s="209">
        <v>0.19</v>
      </c>
      <c r="L618" s="209">
        <v>0.23</v>
      </c>
      <c r="M618" s="209"/>
      <c r="N618" s="209"/>
      <c r="O618" s="209"/>
      <c r="P618" s="209"/>
      <c r="Q618" s="209"/>
      <c r="R618" s="133">
        <v>9.7000000000000003E-2</v>
      </c>
      <c r="S618" s="207">
        <f>ROUND((K618*H616+1.3*K618*J616+R618*G616),4)</f>
        <v>69.802499999999995</v>
      </c>
      <c r="T618" s="207">
        <f>ROUND((L618*0.9*H616+1.3*L618*0.9*J616+R618*G616),4)</f>
        <v>75.527299999999997</v>
      </c>
      <c r="U618" s="207">
        <f>ROUND((L618*H616+1.3*L618*J616+R618*G616),4)</f>
        <v>83.272499999999994</v>
      </c>
      <c r="V618" s="207">
        <f>ROUND((K618*I616+1.3*K618*M616+R618*F616),4)</f>
        <v>5.7119999999999997</v>
      </c>
      <c r="W618" s="207">
        <f>ROUND((L618*0.9*I616+1.3*L618*0.9*M616+R618*F616),4)</f>
        <v>6.1710000000000003</v>
      </c>
      <c r="X618" s="207">
        <f>ROUND((L618*I616+1.3*L618*M616+R618*F616),4)</f>
        <v>6.7919999999999998</v>
      </c>
      <c r="Y618" s="385">
        <f>ROUND((O616*S618*E616*N616/1000000),4)</f>
        <v>1.21E-2</v>
      </c>
      <c r="Z618" s="385">
        <f>ROUND((P616*T618*E616*N616/1000000),4)</f>
        <v>0</v>
      </c>
      <c r="AA618" s="385">
        <f>ROUND((Q616*U618*E616*N616/1000000),4)</f>
        <v>0</v>
      </c>
      <c r="AB618" s="931" t="s">
        <v>56</v>
      </c>
      <c r="AC618" s="932" t="s">
        <v>57</v>
      </c>
      <c r="AD618" s="933">
        <f>ROUND((((W618*D616)/1800)),4)</f>
        <v>3.3999999999999998E-3</v>
      </c>
      <c r="AE618" s="933">
        <f>ROUND(((Y618+Z618+AA618)),5)</f>
        <v>1.21E-2</v>
      </c>
      <c r="AF618" s="61"/>
      <c r="AG618" s="61"/>
      <c r="AH618" s="61"/>
      <c r="AI618" s="61"/>
    </row>
    <row r="619" spans="1:35" s="417" customFormat="1" ht="15" customHeight="1" x14ac:dyDescent="0.2">
      <c r="A619" s="558"/>
      <c r="B619" s="387"/>
      <c r="C619" s="387"/>
      <c r="D619" s="209"/>
      <c r="E619" s="209"/>
      <c r="F619" s="209"/>
      <c r="G619" s="209"/>
      <c r="H619" s="209"/>
      <c r="I619" s="209"/>
      <c r="J619" s="209"/>
      <c r="K619" s="209">
        <v>0.43</v>
      </c>
      <c r="L619" s="209">
        <v>0.51</v>
      </c>
      <c r="M619" s="209"/>
      <c r="N619" s="209"/>
      <c r="O619" s="209"/>
      <c r="P619" s="209"/>
      <c r="Q619" s="209"/>
      <c r="R619" s="133">
        <v>0.3</v>
      </c>
      <c r="S619" s="207">
        <f>ROUND((K619*H616+1.3*K619*J616+R619*G616),4)</f>
        <v>162.80250000000001</v>
      </c>
      <c r="T619" s="207">
        <f>ROUND((L619*0.9*H616+1.3*L619*0.9*J616+R619*G616),4)</f>
        <v>172.56829999999999</v>
      </c>
      <c r="U619" s="207">
        <f>ROUND((L619*H616+1.3*L619*J616+R619*G616),4)</f>
        <v>189.74250000000001</v>
      </c>
      <c r="V619" s="207">
        <f>ROUND((K619*I616+1.3*K619*M616+R619*F616),4)</f>
        <v>13.41</v>
      </c>
      <c r="W619" s="207">
        <f>ROUND((L619*0.9*I616+1.3*L619*0.9*M616+R619*F616),4)</f>
        <v>14.193</v>
      </c>
      <c r="X619" s="207">
        <f>ROUND((L619*I616+1.3*M616+R619*F616),4)</f>
        <v>21.94</v>
      </c>
      <c r="Y619" s="385">
        <f>ROUND((O616*S619*E616*N616/1000000),4)</f>
        <v>2.8199999999999999E-2</v>
      </c>
      <c r="Z619" s="385">
        <f>ROUND((P616*T619*E616*N616/1000000),4)</f>
        <v>0</v>
      </c>
      <c r="AA619" s="385">
        <f>ROUND((Q616*U619*E616*N616/1000000),4)</f>
        <v>0</v>
      </c>
      <c r="AB619" s="931" t="s">
        <v>177</v>
      </c>
      <c r="AC619" s="932" t="s">
        <v>178</v>
      </c>
      <c r="AD619" s="933">
        <f>ROUND((((W619*D616)/1800)),4)</f>
        <v>7.9000000000000008E-3</v>
      </c>
      <c r="AE619" s="933">
        <f>ROUND(((Y619+Z619+AA619)),4)</f>
        <v>2.8199999999999999E-2</v>
      </c>
      <c r="AF619" s="61"/>
      <c r="AG619" s="61"/>
      <c r="AH619" s="61"/>
      <c r="AI619" s="61"/>
    </row>
    <row r="620" spans="1:35" s="417" customFormat="1" ht="15" customHeight="1" x14ac:dyDescent="0.2">
      <c r="A620" s="558"/>
      <c r="B620" s="387"/>
      <c r="C620" s="387"/>
      <c r="D620" s="209"/>
      <c r="E620" s="209"/>
      <c r="F620" s="209"/>
      <c r="G620" s="209"/>
      <c r="H620" s="209"/>
      <c r="I620" s="209"/>
      <c r="J620" s="209"/>
      <c r="K620" s="209">
        <v>0.27</v>
      </c>
      <c r="L620" s="209">
        <v>0.41</v>
      </c>
      <c r="M620" s="209"/>
      <c r="N620" s="209"/>
      <c r="O620" s="209"/>
      <c r="P620" s="209"/>
      <c r="Q620" s="209"/>
      <c r="R620" s="133">
        <v>0.06</v>
      </c>
      <c r="S620" s="207">
        <f>ROUND((K620*H616+1.3*K620*J616+R620*G616),4)</f>
        <v>94.522499999999994</v>
      </c>
      <c r="T620" s="207">
        <f>ROUND((L620*0.9*H616+1.3*L620*0.9*J616+R620*G616),4)</f>
        <v>127.8608</v>
      </c>
      <c r="U620" s="207">
        <f>ROUND((L620*H616+1.3*L620*J616+R620*G616),4)</f>
        <v>141.66749999999999</v>
      </c>
      <c r="V620" s="207">
        <f>ROUND((K620*I616+1.3*K620*M616+R620*F616),4)</f>
        <v>7.65</v>
      </c>
      <c r="W620" s="207">
        <f>ROUND((L620*0.9*I616+1.3*L620*0.9*M616+R620*F616),4)</f>
        <v>10.323</v>
      </c>
      <c r="X620" s="207">
        <f>ROUND((L620*I616+1.3*L620*M616+R620*F616),4)</f>
        <v>11.43</v>
      </c>
      <c r="Y620" s="385">
        <f>ROUND((O616*S620*E616*N616/1000000),4)</f>
        <v>1.6400000000000001E-2</v>
      </c>
      <c r="Z620" s="385">
        <f>ROUND((P616*T620*E616*N616/1000000),4)</f>
        <v>0</v>
      </c>
      <c r="AA620" s="385">
        <f>ROUND((Q616*U620*E616*N616/1000000),4)</f>
        <v>0</v>
      </c>
      <c r="AB620" s="931" t="s">
        <v>61</v>
      </c>
      <c r="AC620" s="932" t="s">
        <v>62</v>
      </c>
      <c r="AD620" s="933">
        <f>ROUND((((W620*D616)/1800)),4)</f>
        <v>5.7000000000000002E-3</v>
      </c>
      <c r="AE620" s="933">
        <f>ROUND(((Y620+Z620+AA620)),4)</f>
        <v>1.6400000000000001E-2</v>
      </c>
      <c r="AF620" s="61"/>
      <c r="AG620" s="61"/>
      <c r="AH620" s="61"/>
      <c r="AI620" s="61"/>
    </row>
    <row r="621" spans="1:35" s="417" customFormat="1" ht="15" customHeight="1" x14ac:dyDescent="0.2">
      <c r="A621" s="563"/>
      <c r="B621" s="214"/>
      <c r="C621" s="214"/>
      <c r="D621" s="210"/>
      <c r="E621" s="210"/>
      <c r="F621" s="210"/>
      <c r="G621" s="210"/>
      <c r="H621" s="210"/>
      <c r="I621" s="210"/>
      <c r="J621" s="210"/>
      <c r="K621" s="210">
        <v>1.29</v>
      </c>
      <c r="L621" s="210">
        <v>1.57</v>
      </c>
      <c r="M621" s="210"/>
      <c r="N621" s="210"/>
      <c r="O621" s="210"/>
      <c r="P621" s="210"/>
      <c r="Q621" s="210"/>
      <c r="R621" s="133">
        <v>2.4</v>
      </c>
      <c r="S621" s="134">
        <f>ROUND((K621*H616+1.3*K621*J616+R621*G616),4)</f>
        <v>578.40750000000003</v>
      </c>
      <c r="T621" s="134">
        <f>ROUND((L621*0.9*H616+1.3*L621*0.9*J616+R621*G616),4)</f>
        <v>619.82780000000002</v>
      </c>
      <c r="U621" s="134">
        <f>ROUND((L621*H616+1.3*L621*J616+R621*G616),4)</f>
        <v>672.69749999999999</v>
      </c>
      <c r="V621" s="134">
        <f>ROUND((K621*I616+1.3*K621*M616+R621*F616),4)</f>
        <v>49.23</v>
      </c>
      <c r="W621" s="134">
        <f>ROUND((L621*0.9*I616+1.3*L621*0.9*M616+R621*F616),4)</f>
        <v>52.551000000000002</v>
      </c>
      <c r="X621" s="134">
        <f>ROUND((L621*I616+1.3*L621*M616+R621*F616),4)</f>
        <v>56.79</v>
      </c>
      <c r="Y621" s="394">
        <f>ROUND((O616*S621*E616*N616/1000000),4)</f>
        <v>0.10009999999999999</v>
      </c>
      <c r="Z621" s="394">
        <f>ROUND((P616*T621*E616*N616/1000000),4)</f>
        <v>0</v>
      </c>
      <c r="AA621" s="394">
        <f>ROUND((Q616*U621*E616*N616/1000000),4)</f>
        <v>0</v>
      </c>
      <c r="AB621" s="931" t="s">
        <v>65</v>
      </c>
      <c r="AC621" s="932" t="s">
        <v>66</v>
      </c>
      <c r="AD621" s="933">
        <f>ROUND((((W621*D616)/1800)),4)</f>
        <v>2.92E-2</v>
      </c>
      <c r="AE621" s="933">
        <f>ROUND(((Y621+Z621+AA621)),4)</f>
        <v>0.10009999999999999</v>
      </c>
      <c r="AF621" s="61">
        <f>SUM(AD616:AD621)</f>
        <v>8.2100000000000006E-2</v>
      </c>
      <c r="AG621" s="61">
        <f>SUM(AE616:AE621)</f>
        <v>0.29530000000000001</v>
      </c>
      <c r="AH621" s="61"/>
      <c r="AI621" s="61"/>
    </row>
    <row r="622" spans="1:35" s="417" customFormat="1" ht="15" customHeight="1" x14ac:dyDescent="0.2">
      <c r="A622" s="1449" t="s">
        <v>1018</v>
      </c>
      <c r="B622" s="1450"/>
      <c r="C622" s="1451"/>
      <c r="D622" s="1451"/>
      <c r="E622" s="1451"/>
      <c r="F622" s="1451"/>
      <c r="G622" s="1451"/>
      <c r="H622" s="1451"/>
      <c r="I622" s="1451"/>
      <c r="J622" s="1451"/>
      <c r="K622" s="1451"/>
      <c r="L622" s="1451"/>
      <c r="M622" s="1451"/>
      <c r="N622" s="1451"/>
      <c r="O622" s="1451"/>
      <c r="P622" s="1451"/>
      <c r="Q622" s="1451"/>
      <c r="R622" s="1451"/>
      <c r="S622" s="1451"/>
      <c r="T622" s="1451"/>
      <c r="U622" s="1451"/>
      <c r="V622" s="1451"/>
      <c r="W622" s="1451"/>
      <c r="X622" s="1451"/>
      <c r="Y622" s="1451"/>
      <c r="Z622" s="1451"/>
      <c r="AA622" s="1451"/>
      <c r="AB622" s="1451"/>
      <c r="AC622" s="1451"/>
      <c r="AD622" s="1451"/>
      <c r="AE622" s="1452"/>
      <c r="AF622" s="61"/>
      <c r="AG622" s="61"/>
      <c r="AH622" s="61"/>
      <c r="AI622" s="61"/>
    </row>
    <row r="623" spans="1:35" s="417" customFormat="1" ht="15" customHeight="1" x14ac:dyDescent="0.2">
      <c r="A623" s="551" t="s">
        <v>683</v>
      </c>
      <c r="B623" s="398" t="s">
        <v>343</v>
      </c>
      <c r="C623" s="212">
        <v>4</v>
      </c>
      <c r="D623" s="170">
        <v>1</v>
      </c>
      <c r="E623" s="170">
        <v>1</v>
      </c>
      <c r="F623" s="170">
        <v>6</v>
      </c>
      <c r="G623" s="170">
        <v>60</v>
      </c>
      <c r="H623" s="170">
        <f>(8-1-0.75*2)*60*E623-J623-8*0.12*60</f>
        <v>57.900000000000006</v>
      </c>
      <c r="I623" s="170">
        <v>14</v>
      </c>
      <c r="J623" s="170">
        <f>(8-1-0.75*2)*0.65*60*E623</f>
        <v>214.5</v>
      </c>
      <c r="K623" s="170">
        <v>2.4700000000000002</v>
      </c>
      <c r="L623" s="170">
        <v>2.4700000000000002</v>
      </c>
      <c r="M623" s="170">
        <v>10</v>
      </c>
      <c r="N623" s="170">
        <f>D623/E623</f>
        <v>1</v>
      </c>
      <c r="O623" s="170">
        <v>173</v>
      </c>
      <c r="P623" s="170">
        <v>0</v>
      </c>
      <c r="Q623" s="211">
        <v>0</v>
      </c>
      <c r="R623" s="170">
        <v>0.48</v>
      </c>
      <c r="S623" s="207">
        <f>ROUND((K623*H623+1.3*K623*J623+R623*G623),4)</f>
        <v>860.57249999999999</v>
      </c>
      <c r="T623" s="207">
        <f>ROUND((L623*H623+1.3*L623*J623+R623*G623),4)</f>
        <v>860.57249999999999</v>
      </c>
      <c r="U623" s="207">
        <f>ROUND((L623*H623+1.3*L623*J623+R623*G623),4)</f>
        <v>860.57249999999999</v>
      </c>
      <c r="V623" s="207">
        <f>ROUND((K623*I623+1.3*K623*M623+R623*F623),4)</f>
        <v>69.569999999999993</v>
      </c>
      <c r="W623" s="207">
        <f>ROUND((L623*I623+1.3*L623*M623+R623*F623),4)</f>
        <v>69.569999999999993</v>
      </c>
      <c r="X623" s="207">
        <f>ROUND((L623*I623+1.3*L623*M623+R623*F623),4)</f>
        <v>69.569999999999993</v>
      </c>
      <c r="Y623" s="385">
        <f>ROUND((O623*S623*E623*N623/1000000),4)</f>
        <v>0.1489</v>
      </c>
      <c r="Z623" s="385">
        <f>ROUND((P623*T623*E623*N623/1000000),4)</f>
        <v>0</v>
      </c>
      <c r="AA623" s="385">
        <f>ROUND((Q623*U623*E623*N623/1000000),4)</f>
        <v>0</v>
      </c>
      <c r="AB623" s="931" t="s">
        <v>48</v>
      </c>
      <c r="AC623" s="932" t="s">
        <v>49</v>
      </c>
      <c r="AD623" s="933">
        <f>ROUND((((W623*D623)/1800)*0.8),4)</f>
        <v>3.09E-2</v>
      </c>
      <c r="AE623" s="933">
        <f>ROUND(((Y623+Z623+AA623)*0.8),4)</f>
        <v>0.1191</v>
      </c>
      <c r="AF623" s="61"/>
      <c r="AG623" s="61"/>
      <c r="AH623" s="61"/>
      <c r="AI623" s="61"/>
    </row>
    <row r="624" spans="1:35" s="417" customFormat="1" ht="15" customHeight="1" x14ac:dyDescent="0.2">
      <c r="A624" s="552" t="s">
        <v>166</v>
      </c>
      <c r="B624" s="399" t="s">
        <v>359</v>
      </c>
      <c r="C624" s="387"/>
      <c r="D624" s="209"/>
      <c r="E624" s="209"/>
      <c r="F624" s="209"/>
      <c r="G624" s="209"/>
      <c r="H624" s="209"/>
      <c r="I624" s="209"/>
      <c r="J624" s="209"/>
      <c r="K624" s="209"/>
      <c r="L624" s="209"/>
      <c r="M624" s="209"/>
      <c r="N624" s="209"/>
      <c r="O624" s="209"/>
      <c r="P624" s="209"/>
      <c r="Q624" s="209"/>
      <c r="R624" s="388"/>
      <c r="S624" s="215"/>
      <c r="T624" s="215"/>
      <c r="U624" s="215"/>
      <c r="V624" s="215"/>
      <c r="W624" s="215"/>
      <c r="X624" s="215"/>
      <c r="Y624" s="215"/>
      <c r="Z624" s="215"/>
      <c r="AA624" s="215"/>
      <c r="AB624" s="931" t="s">
        <v>51</v>
      </c>
      <c r="AC624" s="932" t="s">
        <v>52</v>
      </c>
      <c r="AD624" s="933">
        <f>ROUND((((W623*D623)/1800)*0.13),4)</f>
        <v>5.0000000000000001E-3</v>
      </c>
      <c r="AE624" s="933">
        <f>ROUND(((Y623+Z623+AA623)*0.13),4)</f>
        <v>1.9400000000000001E-2</v>
      </c>
      <c r="AF624" s="61"/>
      <c r="AG624" s="61"/>
      <c r="AH624" s="61"/>
      <c r="AI624" s="61"/>
    </row>
    <row r="625" spans="1:35" s="417" customFormat="1" ht="15" customHeight="1" x14ac:dyDescent="0.2">
      <c r="A625" s="558"/>
      <c r="B625" s="387" t="s">
        <v>360</v>
      </c>
      <c r="C625" s="389"/>
      <c r="D625" s="209"/>
      <c r="E625" s="209"/>
      <c r="F625" s="209"/>
      <c r="G625" s="209"/>
      <c r="H625" s="209"/>
      <c r="I625" s="209"/>
      <c r="J625" s="209"/>
      <c r="K625" s="209">
        <v>0.19</v>
      </c>
      <c r="L625" s="209">
        <v>0.23</v>
      </c>
      <c r="M625" s="209"/>
      <c r="N625" s="209"/>
      <c r="O625" s="209"/>
      <c r="P625" s="209"/>
      <c r="Q625" s="209"/>
      <c r="R625" s="133">
        <v>9.7000000000000003E-2</v>
      </c>
      <c r="S625" s="207">
        <f>ROUND((K625*H623+1.3*K625*J623+R625*G623),4)</f>
        <v>69.802499999999995</v>
      </c>
      <c r="T625" s="207">
        <f>ROUND((L625*0.9*H623+1.3*L625*0.9*J623+R625*G623),4)</f>
        <v>75.527299999999997</v>
      </c>
      <c r="U625" s="207">
        <f>ROUND((L625*H623+1.3*L625*J623+R625*G623),4)</f>
        <v>83.272499999999994</v>
      </c>
      <c r="V625" s="207">
        <f>ROUND((K625*I623+1.3*K625*M623+R625*F623),4)</f>
        <v>5.7119999999999997</v>
      </c>
      <c r="W625" s="207">
        <f>ROUND((L625*0.9*I623+1.3*L625*0.9*M623+R625*F623),4)</f>
        <v>6.1710000000000003</v>
      </c>
      <c r="X625" s="207">
        <f>ROUND((L625*I623+1.3*L625*M623+R625*F623),4)</f>
        <v>6.7919999999999998</v>
      </c>
      <c r="Y625" s="385">
        <f>ROUND((O623*S625*E623*N623/1000000),4)</f>
        <v>1.21E-2</v>
      </c>
      <c r="Z625" s="385">
        <f>ROUND((P623*T625*E623*N623/1000000),4)</f>
        <v>0</v>
      </c>
      <c r="AA625" s="385">
        <f>ROUND((Q623*U625*E623*N623/1000000),4)</f>
        <v>0</v>
      </c>
      <c r="AB625" s="931" t="s">
        <v>56</v>
      </c>
      <c r="AC625" s="932" t="s">
        <v>57</v>
      </c>
      <c r="AD625" s="933">
        <f>ROUND((((W625*D623)/1800)),4)</f>
        <v>3.3999999999999998E-3</v>
      </c>
      <c r="AE625" s="933">
        <f>ROUND(((Y625+Z625+AA625)),5)</f>
        <v>1.21E-2</v>
      </c>
      <c r="AF625" s="61"/>
      <c r="AG625" s="61"/>
      <c r="AH625" s="61"/>
      <c r="AI625" s="61"/>
    </row>
    <row r="626" spans="1:35" s="417" customFormat="1" ht="15" customHeight="1" x14ac:dyDescent="0.2">
      <c r="A626" s="558"/>
      <c r="B626" s="387"/>
      <c r="C626" s="387"/>
      <c r="D626" s="209"/>
      <c r="E626" s="209"/>
      <c r="F626" s="209"/>
      <c r="G626" s="209"/>
      <c r="H626" s="209"/>
      <c r="I626" s="209"/>
      <c r="J626" s="209"/>
      <c r="K626" s="209">
        <v>0.43</v>
      </c>
      <c r="L626" s="209">
        <v>0.51</v>
      </c>
      <c r="M626" s="209"/>
      <c r="N626" s="209"/>
      <c r="O626" s="209"/>
      <c r="P626" s="209"/>
      <c r="Q626" s="209"/>
      <c r="R626" s="133">
        <v>0.3</v>
      </c>
      <c r="S626" s="207">
        <f>ROUND((K626*H623+1.3*K626*J623+R626*G623),4)</f>
        <v>162.80250000000001</v>
      </c>
      <c r="T626" s="207">
        <f>ROUND((L626*0.9*H623+1.3*L626*0.9*J623+R626*G623),4)</f>
        <v>172.56829999999999</v>
      </c>
      <c r="U626" s="207">
        <f>ROUND((L626*H623+1.3*L626*J623+R626*G623),4)</f>
        <v>189.74250000000001</v>
      </c>
      <c r="V626" s="207">
        <f>ROUND((K626*I623+1.3*K626*M623+R626*F623),4)</f>
        <v>13.41</v>
      </c>
      <c r="W626" s="207">
        <f>ROUND((L626*0.9*I623+1.3*L626*0.9*M623+R626*F623),4)</f>
        <v>14.193</v>
      </c>
      <c r="X626" s="207">
        <f>ROUND((L626*I623+1.3*M623+R626*F623),4)</f>
        <v>21.94</v>
      </c>
      <c r="Y626" s="385">
        <f>ROUND((O623*S626*E623*N623/1000000),4)</f>
        <v>2.8199999999999999E-2</v>
      </c>
      <c r="Z626" s="385">
        <f>ROUND((P623*T626*E623*N623/1000000),4)</f>
        <v>0</v>
      </c>
      <c r="AA626" s="385">
        <f>ROUND((Q623*U626*E623*N623/1000000),4)</f>
        <v>0</v>
      </c>
      <c r="AB626" s="931" t="s">
        <v>177</v>
      </c>
      <c r="AC626" s="932" t="s">
        <v>178</v>
      </c>
      <c r="AD626" s="933">
        <f>ROUND((((W626*D623)/1800)),4)</f>
        <v>7.9000000000000008E-3</v>
      </c>
      <c r="AE626" s="933">
        <f>ROUND(((Y626+Z626+AA626)),4)</f>
        <v>2.8199999999999999E-2</v>
      </c>
      <c r="AF626" s="61"/>
      <c r="AG626" s="61"/>
      <c r="AH626" s="61"/>
      <c r="AI626" s="61"/>
    </row>
    <row r="627" spans="1:35" s="417" customFormat="1" ht="15" customHeight="1" x14ac:dyDescent="0.2">
      <c r="A627" s="558"/>
      <c r="B627" s="387"/>
      <c r="C627" s="387"/>
      <c r="D627" s="209"/>
      <c r="E627" s="209"/>
      <c r="F627" s="209"/>
      <c r="G627" s="209"/>
      <c r="H627" s="209"/>
      <c r="I627" s="209"/>
      <c r="J627" s="209"/>
      <c r="K627" s="209">
        <v>0.27</v>
      </c>
      <c r="L627" s="209">
        <v>0.41</v>
      </c>
      <c r="M627" s="209"/>
      <c r="N627" s="209"/>
      <c r="O627" s="209"/>
      <c r="P627" s="209"/>
      <c r="Q627" s="209"/>
      <c r="R627" s="133">
        <v>0.06</v>
      </c>
      <c r="S627" s="207">
        <f>ROUND((K627*H623+1.3*K627*J623+R627*G623),4)</f>
        <v>94.522499999999994</v>
      </c>
      <c r="T627" s="207">
        <f>ROUND((L627*0.9*H623+1.3*L627*0.9*J623+R627*G623),4)</f>
        <v>127.8608</v>
      </c>
      <c r="U627" s="207">
        <f>ROUND((L627*H623+1.3*L627*J623+R627*G623),4)</f>
        <v>141.66749999999999</v>
      </c>
      <c r="V627" s="207">
        <f>ROUND((K627*I623+1.3*K627*M623+R627*F623),4)</f>
        <v>7.65</v>
      </c>
      <c r="W627" s="207">
        <f>ROUND((L627*0.9*I623+1.3*L627*0.9*M623+R627*F623),4)</f>
        <v>10.323</v>
      </c>
      <c r="X627" s="207">
        <f>ROUND((L627*I623+1.3*L627*M623+R627*F623),4)</f>
        <v>11.43</v>
      </c>
      <c r="Y627" s="385">
        <f>ROUND((O623*S627*E623*N623/1000000),4)</f>
        <v>1.6400000000000001E-2</v>
      </c>
      <c r="Z627" s="385">
        <f>ROUND((P623*T627*E623*N623/1000000),4)</f>
        <v>0</v>
      </c>
      <c r="AA627" s="385">
        <f>ROUND((Q623*U627*E623*N623/1000000),4)</f>
        <v>0</v>
      </c>
      <c r="AB627" s="931" t="s">
        <v>61</v>
      </c>
      <c r="AC627" s="932" t="s">
        <v>62</v>
      </c>
      <c r="AD627" s="933">
        <f>ROUND((((W627*D623)/1800)),4)</f>
        <v>5.7000000000000002E-3</v>
      </c>
      <c r="AE627" s="933">
        <f>ROUND(((Y627+Z627+AA627)),4)</f>
        <v>1.6400000000000001E-2</v>
      </c>
      <c r="AF627" s="61"/>
      <c r="AG627" s="61"/>
      <c r="AH627" s="61"/>
      <c r="AI627" s="61"/>
    </row>
    <row r="628" spans="1:35" s="417" customFormat="1" ht="15" customHeight="1" x14ac:dyDescent="0.2">
      <c r="A628" s="563"/>
      <c r="B628" s="214"/>
      <c r="C628" s="214"/>
      <c r="D628" s="210"/>
      <c r="E628" s="210"/>
      <c r="F628" s="210"/>
      <c r="G628" s="210"/>
      <c r="H628" s="210"/>
      <c r="I628" s="210"/>
      <c r="J628" s="210"/>
      <c r="K628" s="210">
        <v>1.29</v>
      </c>
      <c r="L628" s="210">
        <v>1.57</v>
      </c>
      <c r="M628" s="210"/>
      <c r="N628" s="210"/>
      <c r="O628" s="210"/>
      <c r="P628" s="210"/>
      <c r="Q628" s="210"/>
      <c r="R628" s="133">
        <v>2.4</v>
      </c>
      <c r="S628" s="134">
        <f>ROUND((K628*H623+1.3*K628*J623+R628*G623),4)</f>
        <v>578.40750000000003</v>
      </c>
      <c r="T628" s="134">
        <f>ROUND((L628*0.9*H623+1.3*L628*0.9*J623+R628*G623),4)</f>
        <v>619.82780000000002</v>
      </c>
      <c r="U628" s="134">
        <f>ROUND((L628*H623+1.3*L628*J623+R628*G623),4)</f>
        <v>672.69749999999999</v>
      </c>
      <c r="V628" s="134">
        <f>ROUND((K628*I623+1.3*K628*M623+R628*F623),4)</f>
        <v>49.23</v>
      </c>
      <c r="W628" s="134">
        <f>ROUND((L628*0.9*I623+1.3*L628*0.9*M623+R628*F623),4)</f>
        <v>52.551000000000002</v>
      </c>
      <c r="X628" s="134">
        <f>ROUND((L628*I623+1.3*L628*M623+R628*F623),4)</f>
        <v>56.79</v>
      </c>
      <c r="Y628" s="394">
        <f>ROUND((O623*S628*E623*N623/1000000),4)</f>
        <v>0.10009999999999999</v>
      </c>
      <c r="Z628" s="394">
        <f>ROUND((P623*T628*E623*N623/1000000),4)</f>
        <v>0</v>
      </c>
      <c r="AA628" s="394">
        <f>ROUND((Q623*U628*E623*N623/1000000),4)</f>
        <v>0</v>
      </c>
      <c r="AB628" s="931" t="s">
        <v>65</v>
      </c>
      <c r="AC628" s="932" t="s">
        <v>66</v>
      </c>
      <c r="AD628" s="933">
        <f>ROUND((((W628*D623)/1800)),4)</f>
        <v>2.92E-2</v>
      </c>
      <c r="AE628" s="933">
        <f>ROUND(((Y628+Z628+AA628)),4)</f>
        <v>0.10009999999999999</v>
      </c>
      <c r="AF628" s="61">
        <f>SUM(AD623:AD628)</f>
        <v>8.2100000000000006E-2</v>
      </c>
      <c r="AG628" s="61">
        <f>SUM(AE623:AE628)</f>
        <v>0.29530000000000001</v>
      </c>
      <c r="AH628" s="61"/>
      <c r="AI628" s="61"/>
    </row>
    <row r="629" spans="1:35" s="417" customFormat="1" ht="15" customHeight="1" x14ac:dyDescent="0.2">
      <c r="A629" s="1284" t="s">
        <v>707</v>
      </c>
      <c r="B629" s="1437"/>
      <c r="C629" s="1438"/>
      <c r="D629" s="1438"/>
      <c r="E629" s="1438"/>
      <c r="F629" s="1438"/>
      <c r="G629" s="1438"/>
      <c r="H629" s="1438"/>
      <c r="I629" s="1438"/>
      <c r="J629" s="1438"/>
      <c r="K629" s="1438"/>
      <c r="L629" s="1438"/>
      <c r="M629" s="1438"/>
      <c r="N629" s="1438"/>
      <c r="O629" s="1438"/>
      <c r="P629" s="1438"/>
      <c r="Q629" s="1438"/>
      <c r="R629" s="1438"/>
      <c r="S629" s="1438"/>
      <c r="T629" s="1438"/>
      <c r="U629" s="1438"/>
      <c r="V629" s="1438"/>
      <c r="W629" s="1438"/>
      <c r="X629" s="1438"/>
      <c r="Y629" s="1438"/>
      <c r="Z629" s="1438"/>
      <c r="AA629" s="1438"/>
      <c r="AB629" s="1438"/>
      <c r="AC629" s="1438"/>
      <c r="AD629" s="1438"/>
      <c r="AE629" s="1439"/>
      <c r="AF629" s="61"/>
      <c r="AG629" s="61"/>
      <c r="AH629" s="61"/>
      <c r="AI629" s="61"/>
    </row>
    <row r="630" spans="1:35" s="417" customFormat="1" ht="15" customHeight="1" x14ac:dyDescent="0.2">
      <c r="A630" s="560" t="s">
        <v>704</v>
      </c>
      <c r="B630" s="398" t="s">
        <v>343</v>
      </c>
      <c r="C630" s="212">
        <v>4</v>
      </c>
      <c r="D630" s="170">
        <v>1</v>
      </c>
      <c r="E630" s="170">
        <v>1</v>
      </c>
      <c r="F630" s="170">
        <v>6</v>
      </c>
      <c r="G630" s="170">
        <v>60</v>
      </c>
      <c r="H630" s="170">
        <f>(8-1-0.75*2)*60*E630-J630-8*0.12*60</f>
        <v>57.900000000000006</v>
      </c>
      <c r="I630" s="170">
        <v>14</v>
      </c>
      <c r="J630" s="170">
        <f>(8-1-0.75*2)*0.65*60*E630</f>
        <v>214.5</v>
      </c>
      <c r="K630" s="170">
        <v>2.4700000000000002</v>
      </c>
      <c r="L630" s="170">
        <v>2.4700000000000002</v>
      </c>
      <c r="M630" s="170">
        <v>10</v>
      </c>
      <c r="N630" s="170">
        <f>D630/E630</f>
        <v>1</v>
      </c>
      <c r="O630" s="170">
        <v>180</v>
      </c>
      <c r="P630" s="170">
        <v>90</v>
      </c>
      <c r="Q630" s="211">
        <v>95</v>
      </c>
      <c r="R630" s="170">
        <v>0.48</v>
      </c>
      <c r="S630" s="207">
        <f>ROUND((K630*H630+1.3*K630*J630+R630*G630),4)</f>
        <v>860.57249999999999</v>
      </c>
      <c r="T630" s="207">
        <f>ROUND((L630*H630+1.3*L630*J630+R630*G630),4)</f>
        <v>860.57249999999999</v>
      </c>
      <c r="U630" s="207">
        <f>ROUND((L630*H630+1.3*L630*J630+R630*G630),4)</f>
        <v>860.57249999999999</v>
      </c>
      <c r="V630" s="207">
        <f>ROUND((K630*I630+1.3*K630*M630+R630*F630),4)</f>
        <v>69.569999999999993</v>
      </c>
      <c r="W630" s="207">
        <f>ROUND((L630*I630+1.3*L630*M630+R630*F630),4)</f>
        <v>69.569999999999993</v>
      </c>
      <c r="X630" s="207">
        <f>ROUND((L630*I630+1.3*L630*M630+R630*F630),4)</f>
        <v>69.569999999999993</v>
      </c>
      <c r="Y630" s="385">
        <f>ROUND((O630*S630*E630*N630/1000000),4)</f>
        <v>0.15490000000000001</v>
      </c>
      <c r="Z630" s="385">
        <f>ROUND((P630*T630*E630*N630/1000000),4)</f>
        <v>7.7499999999999999E-2</v>
      </c>
      <c r="AA630" s="385">
        <f>ROUND((Q630*U630*E630*N630/1000000),4)</f>
        <v>8.1799999999999998E-2</v>
      </c>
      <c r="AB630" s="931" t="s">
        <v>48</v>
      </c>
      <c r="AC630" s="932" t="s">
        <v>49</v>
      </c>
      <c r="AD630" s="933">
        <f>ROUND((((W630*D630)/1800)*0.8),4)</f>
        <v>3.09E-2</v>
      </c>
      <c r="AE630" s="933">
        <f>ROUND(((Y630+Z630+AA630)*0.8),4)</f>
        <v>0.25140000000000001</v>
      </c>
      <c r="AF630" s="61"/>
      <c r="AG630" s="61"/>
      <c r="AH630" s="61"/>
      <c r="AI630" s="61"/>
    </row>
    <row r="631" spans="1:35" s="417" customFormat="1" ht="15" customHeight="1" x14ac:dyDescent="0.2">
      <c r="A631" s="561" t="s">
        <v>166</v>
      </c>
      <c r="B631" s="399" t="s">
        <v>359</v>
      </c>
      <c r="C631" s="387"/>
      <c r="D631" s="209"/>
      <c r="E631" s="209"/>
      <c r="F631" s="209"/>
      <c r="G631" s="209"/>
      <c r="H631" s="209"/>
      <c r="I631" s="209"/>
      <c r="J631" s="209"/>
      <c r="K631" s="209"/>
      <c r="L631" s="209"/>
      <c r="M631" s="209"/>
      <c r="N631" s="209"/>
      <c r="O631" s="209"/>
      <c r="P631" s="209"/>
      <c r="Q631" s="209"/>
      <c r="R631" s="388"/>
      <c r="S631" s="215"/>
      <c r="T631" s="215"/>
      <c r="U631" s="215"/>
      <c r="V631" s="215"/>
      <c r="W631" s="215"/>
      <c r="X631" s="215"/>
      <c r="Y631" s="215"/>
      <c r="Z631" s="215"/>
      <c r="AA631" s="215"/>
      <c r="AB631" s="931" t="s">
        <v>51</v>
      </c>
      <c r="AC631" s="932" t="s">
        <v>52</v>
      </c>
      <c r="AD631" s="933">
        <f>ROUND((((W630*D630)/1800)*0.13),4)</f>
        <v>5.0000000000000001E-3</v>
      </c>
      <c r="AE631" s="933">
        <f>ROUND(((Y630+Z630+AA630)*0.13),4)</f>
        <v>4.0800000000000003E-2</v>
      </c>
      <c r="AF631" s="61"/>
      <c r="AG631" s="61"/>
      <c r="AH631" s="61"/>
      <c r="AI631" s="61"/>
    </row>
    <row r="632" spans="1:35" s="417" customFormat="1" ht="15" customHeight="1" x14ac:dyDescent="0.2">
      <c r="A632" s="562"/>
      <c r="B632" s="387" t="s">
        <v>360</v>
      </c>
      <c r="C632" s="389"/>
      <c r="D632" s="209"/>
      <c r="E632" s="209"/>
      <c r="F632" s="209"/>
      <c r="G632" s="209"/>
      <c r="H632" s="209"/>
      <c r="I632" s="209"/>
      <c r="J632" s="209"/>
      <c r="K632" s="209">
        <v>0.19</v>
      </c>
      <c r="L632" s="209">
        <v>0.23</v>
      </c>
      <c r="M632" s="209"/>
      <c r="N632" s="209"/>
      <c r="O632" s="209"/>
      <c r="P632" s="209"/>
      <c r="Q632" s="209"/>
      <c r="R632" s="133">
        <v>9.7000000000000003E-2</v>
      </c>
      <c r="S632" s="207">
        <f>ROUND((K632*H630+1.3*K632*J630+R632*G630),4)</f>
        <v>69.802499999999995</v>
      </c>
      <c r="T632" s="207">
        <f>ROUND((L632*0.9*H630+1.3*L632*0.9*J630+R632*G630),4)</f>
        <v>75.527299999999997</v>
      </c>
      <c r="U632" s="207">
        <f>ROUND((L632*H630+1.3*L632*J630+R632*G630),4)</f>
        <v>83.272499999999994</v>
      </c>
      <c r="V632" s="207">
        <f>ROUND((K632*I630+1.3*K632*M630+R632*F630),4)</f>
        <v>5.7119999999999997</v>
      </c>
      <c r="W632" s="207">
        <f>ROUND((L632*0.9*I630+1.3*L632*0.9*M630+R632*F630),4)</f>
        <v>6.1710000000000003</v>
      </c>
      <c r="X632" s="207">
        <f>ROUND((L632*I630+1.3*L632*M630+R632*F630),4)</f>
        <v>6.7919999999999998</v>
      </c>
      <c r="Y632" s="385">
        <f>ROUND((O630*S632*E630*N630/1000000),4)</f>
        <v>1.26E-2</v>
      </c>
      <c r="Z632" s="385">
        <f>ROUND((P630*T632*E630*N630/1000000),4)</f>
        <v>6.7999999999999996E-3</v>
      </c>
      <c r="AA632" s="385">
        <f>ROUND((Q630*U632*E630*N630/1000000),4)</f>
        <v>7.9000000000000008E-3</v>
      </c>
      <c r="AB632" s="931" t="s">
        <v>56</v>
      </c>
      <c r="AC632" s="932" t="s">
        <v>57</v>
      </c>
      <c r="AD632" s="933">
        <f>ROUND((((W632*D630)/1800)),4)</f>
        <v>3.3999999999999998E-3</v>
      </c>
      <c r="AE632" s="933">
        <f>ROUND(((Y632+Z632+AA632)),5)</f>
        <v>2.7300000000000001E-2</v>
      </c>
      <c r="AF632" s="61"/>
      <c r="AG632" s="61"/>
      <c r="AH632" s="61"/>
      <c r="AI632" s="61"/>
    </row>
    <row r="633" spans="1:35" s="417" customFormat="1" ht="15" customHeight="1" x14ac:dyDescent="0.2">
      <c r="A633" s="562"/>
      <c r="B633" s="387"/>
      <c r="C633" s="387"/>
      <c r="D633" s="209"/>
      <c r="E633" s="209"/>
      <c r="F633" s="209"/>
      <c r="G633" s="209"/>
      <c r="H633" s="209"/>
      <c r="I633" s="209"/>
      <c r="J633" s="209"/>
      <c r="K633" s="209">
        <v>0.43</v>
      </c>
      <c r="L633" s="209">
        <v>0.51</v>
      </c>
      <c r="M633" s="209"/>
      <c r="N633" s="209"/>
      <c r="O633" s="209"/>
      <c r="P633" s="209"/>
      <c r="Q633" s="209"/>
      <c r="R633" s="133">
        <v>0.3</v>
      </c>
      <c r="S633" s="207">
        <f>ROUND((K633*H630+1.3*K633*J630+R633*G630),4)</f>
        <v>162.80250000000001</v>
      </c>
      <c r="T633" s="207">
        <f>ROUND((L633*0.9*H630+1.3*L633*0.9*J630+R633*G630),4)</f>
        <v>172.56829999999999</v>
      </c>
      <c r="U633" s="207">
        <f>ROUND((L633*H630+1.3*L633*J630+R633*G630),4)</f>
        <v>189.74250000000001</v>
      </c>
      <c r="V633" s="207">
        <f>ROUND((K633*I630+1.3*K633*M630+R633*F630),4)</f>
        <v>13.41</v>
      </c>
      <c r="W633" s="207">
        <f>ROUND((L633*0.9*I630+1.3*L633*0.9*M630+R633*F630),4)</f>
        <v>14.193</v>
      </c>
      <c r="X633" s="207">
        <f>ROUND((L633*I630+1.3*M630+R633*F630),4)</f>
        <v>21.94</v>
      </c>
      <c r="Y633" s="385">
        <f>ROUND((O630*S633*E630*N630/1000000),4)</f>
        <v>2.93E-2</v>
      </c>
      <c r="Z633" s="385">
        <f>ROUND((P630*T633*E630*N630/1000000),4)</f>
        <v>1.55E-2</v>
      </c>
      <c r="AA633" s="385">
        <f>ROUND((Q630*U633*E630*N630/1000000),4)</f>
        <v>1.7999999999999999E-2</v>
      </c>
      <c r="AB633" s="931" t="s">
        <v>177</v>
      </c>
      <c r="AC633" s="932" t="s">
        <v>178</v>
      </c>
      <c r="AD633" s="933">
        <f>ROUND((((W633*D630)/1800)),4)</f>
        <v>7.9000000000000008E-3</v>
      </c>
      <c r="AE633" s="933">
        <f>ROUND(((Y633+Z633+AA633)),4)</f>
        <v>6.2799999999999995E-2</v>
      </c>
      <c r="AF633" s="61"/>
      <c r="AG633" s="61"/>
      <c r="AH633" s="61"/>
      <c r="AI633" s="61"/>
    </row>
    <row r="634" spans="1:35" s="417" customFormat="1" ht="15" customHeight="1" x14ac:dyDescent="0.2">
      <c r="A634" s="562"/>
      <c r="B634" s="387"/>
      <c r="C634" s="387"/>
      <c r="D634" s="209"/>
      <c r="E634" s="209"/>
      <c r="F634" s="209"/>
      <c r="G634" s="209"/>
      <c r="H634" s="209"/>
      <c r="I634" s="209"/>
      <c r="J634" s="209"/>
      <c r="K634" s="209">
        <v>0.27</v>
      </c>
      <c r="L634" s="209">
        <v>0.41</v>
      </c>
      <c r="M634" s="209"/>
      <c r="N634" s="209"/>
      <c r="O634" s="209"/>
      <c r="P634" s="209"/>
      <c r="Q634" s="209"/>
      <c r="R634" s="133">
        <v>0.06</v>
      </c>
      <c r="S634" s="207">
        <f>ROUND((K634*H630+1.3*K634*J630+R634*G630),4)</f>
        <v>94.522499999999994</v>
      </c>
      <c r="T634" s="207">
        <f>ROUND((L634*0.9*H630+1.3*L634*0.9*J630+R634*G630),4)</f>
        <v>127.8608</v>
      </c>
      <c r="U634" s="207">
        <f>ROUND((L634*H630+1.3*L634*J630+R634*G630),4)</f>
        <v>141.66749999999999</v>
      </c>
      <c r="V634" s="207">
        <f>ROUND((K634*I630+1.3*K634*M630+R634*F630),4)</f>
        <v>7.65</v>
      </c>
      <c r="W634" s="207">
        <f>ROUND((L634*0.9*I630+1.3*L634*0.9*M630+R634*F630),4)</f>
        <v>10.323</v>
      </c>
      <c r="X634" s="207">
        <f>ROUND((L634*I630+1.3*L634*M630+R634*F630),4)</f>
        <v>11.43</v>
      </c>
      <c r="Y634" s="385">
        <f>ROUND((O630*S634*E630*N630/1000000),4)</f>
        <v>1.7000000000000001E-2</v>
      </c>
      <c r="Z634" s="385">
        <f>ROUND((P630*T634*E630*N630/1000000),4)</f>
        <v>1.15E-2</v>
      </c>
      <c r="AA634" s="385">
        <f>ROUND((Q630*U634*E630*N630/1000000),4)</f>
        <v>1.35E-2</v>
      </c>
      <c r="AB634" s="931" t="s">
        <v>61</v>
      </c>
      <c r="AC634" s="932" t="s">
        <v>62</v>
      </c>
      <c r="AD634" s="933">
        <f>ROUND((((W634*D630)/1800)),4)</f>
        <v>5.7000000000000002E-3</v>
      </c>
      <c r="AE634" s="933">
        <f>ROUND(((Y634+Z634+AA634)),4)</f>
        <v>4.2000000000000003E-2</v>
      </c>
      <c r="AF634" s="61"/>
      <c r="AG634" s="61"/>
      <c r="AH634" s="61"/>
      <c r="AI634" s="61"/>
    </row>
    <row r="635" spans="1:35" s="417" customFormat="1" ht="15" customHeight="1" x14ac:dyDescent="0.2">
      <c r="A635" s="513"/>
      <c r="B635" s="214"/>
      <c r="C635" s="214"/>
      <c r="D635" s="210"/>
      <c r="E635" s="210"/>
      <c r="F635" s="210"/>
      <c r="G635" s="210"/>
      <c r="H635" s="210"/>
      <c r="I635" s="210"/>
      <c r="J635" s="210"/>
      <c r="K635" s="210">
        <v>1.29</v>
      </c>
      <c r="L635" s="210">
        <v>1.57</v>
      </c>
      <c r="M635" s="210"/>
      <c r="N635" s="210"/>
      <c r="O635" s="210"/>
      <c r="P635" s="210"/>
      <c r="Q635" s="210"/>
      <c r="R635" s="133">
        <v>2.4</v>
      </c>
      <c r="S635" s="134">
        <f>ROUND((K635*H630+1.3*K635*J630+R635*G630),4)</f>
        <v>578.40750000000003</v>
      </c>
      <c r="T635" s="134">
        <f>ROUND((L635*0.9*H630+1.3*L635*0.9*J630+R635*G630),4)</f>
        <v>619.82780000000002</v>
      </c>
      <c r="U635" s="134">
        <f>ROUND((L635*H630+1.3*L635*J630+R635*G630),4)</f>
        <v>672.69749999999999</v>
      </c>
      <c r="V635" s="134">
        <f>ROUND((K635*I630+1.3*K635*M630+R635*F630),4)</f>
        <v>49.23</v>
      </c>
      <c r="W635" s="134">
        <f>ROUND((L635*0.9*I630+1.3*L635*0.9*M630+R635*F630),4)</f>
        <v>52.551000000000002</v>
      </c>
      <c r="X635" s="134">
        <f>ROUND((L635*I630+1.3*L635*M630+R635*F630),4)</f>
        <v>56.79</v>
      </c>
      <c r="Y635" s="394">
        <f>ROUND((O630*S635*E630*N630/1000000),4)</f>
        <v>0.1041</v>
      </c>
      <c r="Z635" s="394">
        <f>ROUND((P630*T635*E630*N630/1000000),4)</f>
        <v>5.5800000000000002E-2</v>
      </c>
      <c r="AA635" s="394">
        <f>ROUND((Q630*U635*E630*N630/1000000),4)</f>
        <v>6.3899999999999998E-2</v>
      </c>
      <c r="AB635" s="931" t="s">
        <v>65</v>
      </c>
      <c r="AC635" s="932" t="s">
        <v>66</v>
      </c>
      <c r="AD635" s="933">
        <f>ROUND((((W635*D630)/1800)),4)</f>
        <v>2.92E-2</v>
      </c>
      <c r="AE635" s="933">
        <f>ROUND(((Y635+Z635+AA635)),4)</f>
        <v>0.2238</v>
      </c>
      <c r="AF635" s="61">
        <f>SUM(AD630:AD635)</f>
        <v>8.2100000000000006E-2</v>
      </c>
      <c r="AG635" s="61">
        <f>SUM(AE630:AE635)</f>
        <v>0.6480999999999999</v>
      </c>
      <c r="AH635" s="61"/>
      <c r="AI635" s="61"/>
    </row>
    <row r="636" spans="1:35" s="417" customFormat="1" ht="15" customHeight="1" x14ac:dyDescent="0.2">
      <c r="A636" s="1284" t="s">
        <v>709</v>
      </c>
      <c r="B636" s="1437"/>
      <c r="C636" s="1438"/>
      <c r="D636" s="1438"/>
      <c r="E636" s="1438"/>
      <c r="F636" s="1438"/>
      <c r="G636" s="1438"/>
      <c r="H636" s="1438"/>
      <c r="I636" s="1438"/>
      <c r="J636" s="1438"/>
      <c r="K636" s="1438"/>
      <c r="L636" s="1438"/>
      <c r="M636" s="1438"/>
      <c r="N636" s="1438"/>
      <c r="O636" s="1438"/>
      <c r="P636" s="1438"/>
      <c r="Q636" s="1438"/>
      <c r="R636" s="1438"/>
      <c r="S636" s="1438"/>
      <c r="T636" s="1438"/>
      <c r="U636" s="1438"/>
      <c r="V636" s="1438"/>
      <c r="W636" s="1438"/>
      <c r="X636" s="1438"/>
      <c r="Y636" s="1438"/>
      <c r="Z636" s="1438"/>
      <c r="AA636" s="1438"/>
      <c r="AB636" s="1438"/>
      <c r="AC636" s="1438"/>
      <c r="AD636" s="1438"/>
      <c r="AE636" s="1439"/>
      <c r="AF636" s="61"/>
      <c r="AG636" s="61"/>
      <c r="AH636" s="61"/>
      <c r="AI636" s="61"/>
    </row>
    <row r="637" spans="1:35" s="417" customFormat="1" ht="15" customHeight="1" x14ac:dyDescent="0.2">
      <c r="A637" s="551" t="s">
        <v>705</v>
      </c>
      <c r="B637" s="398" t="s">
        <v>343</v>
      </c>
      <c r="C637" s="212">
        <v>4</v>
      </c>
      <c r="D637" s="170">
        <v>1</v>
      </c>
      <c r="E637" s="170">
        <v>1</v>
      </c>
      <c r="F637" s="170">
        <v>6</v>
      </c>
      <c r="G637" s="170">
        <v>60</v>
      </c>
      <c r="H637" s="170">
        <f>(8-1-0.75*2)*60*E637-J637-8*0.12*60</f>
        <v>57.900000000000006</v>
      </c>
      <c r="I637" s="170">
        <v>14</v>
      </c>
      <c r="J637" s="170">
        <f>(8-1-0.75*2)*0.65*60*E637</f>
        <v>214.5</v>
      </c>
      <c r="K637" s="170">
        <v>2.4700000000000002</v>
      </c>
      <c r="L637" s="170">
        <v>2.4700000000000002</v>
      </c>
      <c r="M637" s="170">
        <v>10</v>
      </c>
      <c r="N637" s="170">
        <f>D637/E637</f>
        <v>1</v>
      </c>
      <c r="O637" s="170">
        <v>180</v>
      </c>
      <c r="P637" s="170">
        <v>90</v>
      </c>
      <c r="Q637" s="211">
        <v>95</v>
      </c>
      <c r="R637" s="170">
        <v>0.48</v>
      </c>
      <c r="S637" s="207">
        <f>ROUND((K637*H637+1.3*K637*J637+R637*G637),4)</f>
        <v>860.57249999999999</v>
      </c>
      <c r="T637" s="207">
        <f>ROUND((L637*H637+1.3*L637*J637+R637*G637),4)</f>
        <v>860.57249999999999</v>
      </c>
      <c r="U637" s="207">
        <f>ROUND((L637*H637+1.3*L637*J637+R637*G637),4)</f>
        <v>860.57249999999999</v>
      </c>
      <c r="V637" s="207">
        <f>ROUND((K637*I637+1.3*K637*M637+R637*F637),4)</f>
        <v>69.569999999999993</v>
      </c>
      <c r="W637" s="207">
        <f>ROUND((L637*I637+1.3*L637*M637+R637*F637),4)</f>
        <v>69.569999999999993</v>
      </c>
      <c r="X637" s="207">
        <f>ROUND((L637*I637+1.3*L637*M637+R637*F637),4)</f>
        <v>69.569999999999993</v>
      </c>
      <c r="Y637" s="385">
        <f>ROUND((O637*S637*E637*N637/1000000),4)</f>
        <v>0.15490000000000001</v>
      </c>
      <c r="Z637" s="385">
        <f>ROUND((P637*T637*E637*N637/1000000),4)</f>
        <v>7.7499999999999999E-2</v>
      </c>
      <c r="AA637" s="385">
        <f>ROUND((Q637*U637*E637*N637/1000000),4)</f>
        <v>8.1799999999999998E-2</v>
      </c>
      <c r="AB637" s="931" t="s">
        <v>48</v>
      </c>
      <c r="AC637" s="932" t="s">
        <v>49</v>
      </c>
      <c r="AD637" s="933">
        <f>ROUND((((W637*D637)/1800)*0.8),4)</f>
        <v>3.09E-2</v>
      </c>
      <c r="AE637" s="933">
        <f>ROUND(((Y637+Z637+AA637)*0.8),4)</f>
        <v>0.25140000000000001</v>
      </c>
      <c r="AF637" s="61"/>
      <c r="AG637" s="61"/>
      <c r="AH637" s="61"/>
      <c r="AI637" s="61"/>
    </row>
    <row r="638" spans="1:35" s="417" customFormat="1" ht="15" customHeight="1" x14ac:dyDescent="0.2">
      <c r="A638" s="552" t="s">
        <v>166</v>
      </c>
      <c r="B638" s="399" t="s">
        <v>359</v>
      </c>
      <c r="C638" s="387"/>
      <c r="D638" s="209"/>
      <c r="E638" s="209"/>
      <c r="F638" s="209"/>
      <c r="G638" s="209"/>
      <c r="H638" s="209"/>
      <c r="I638" s="209"/>
      <c r="J638" s="209"/>
      <c r="K638" s="209"/>
      <c r="L638" s="209"/>
      <c r="M638" s="209"/>
      <c r="N638" s="209"/>
      <c r="O638" s="209"/>
      <c r="P638" s="209"/>
      <c r="Q638" s="209"/>
      <c r="R638" s="388"/>
      <c r="S638" s="215"/>
      <c r="T638" s="215"/>
      <c r="U638" s="215"/>
      <c r="V638" s="215"/>
      <c r="W638" s="215"/>
      <c r="X638" s="215"/>
      <c r="Y638" s="215"/>
      <c r="Z638" s="215"/>
      <c r="AA638" s="215"/>
      <c r="AB638" s="931" t="s">
        <v>51</v>
      </c>
      <c r="AC638" s="932" t="s">
        <v>52</v>
      </c>
      <c r="AD638" s="933">
        <f>ROUND((((W637*D637)/1800)*0.13),4)</f>
        <v>5.0000000000000001E-3</v>
      </c>
      <c r="AE638" s="933">
        <f>ROUND(((Y637+Z637+AA637)*0.13),4)</f>
        <v>4.0800000000000003E-2</v>
      </c>
      <c r="AF638" s="61"/>
      <c r="AG638" s="61"/>
      <c r="AH638" s="61"/>
      <c r="AI638" s="61"/>
    </row>
    <row r="639" spans="1:35" s="417" customFormat="1" ht="15" customHeight="1" x14ac:dyDescent="0.2">
      <c r="A639" s="558"/>
      <c r="B639" s="387" t="s">
        <v>360</v>
      </c>
      <c r="C639" s="389"/>
      <c r="D639" s="209"/>
      <c r="E639" s="209"/>
      <c r="F639" s="209"/>
      <c r="G639" s="209"/>
      <c r="H639" s="209"/>
      <c r="I639" s="209"/>
      <c r="J639" s="209"/>
      <c r="K639" s="209">
        <v>0.19</v>
      </c>
      <c r="L639" s="209">
        <v>0.23</v>
      </c>
      <c r="M639" s="209"/>
      <c r="N639" s="209"/>
      <c r="O639" s="209"/>
      <c r="P639" s="209"/>
      <c r="Q639" s="209"/>
      <c r="R639" s="133">
        <v>9.7000000000000003E-2</v>
      </c>
      <c r="S639" s="207">
        <f>ROUND((K639*H637+1.3*K639*J637+R639*G637),4)</f>
        <v>69.802499999999995</v>
      </c>
      <c r="T639" s="207">
        <f>ROUND((L639*0.9*H637+1.3*L639*0.9*J637+R639*G637),4)</f>
        <v>75.527299999999997</v>
      </c>
      <c r="U639" s="207">
        <f>ROUND((L639*H637+1.3*L639*J637+R639*G637),4)</f>
        <v>83.272499999999994</v>
      </c>
      <c r="V639" s="207">
        <f>ROUND((K639*I637+1.3*K639*M637+R639*F637),4)</f>
        <v>5.7119999999999997</v>
      </c>
      <c r="W639" s="207">
        <f>ROUND((L639*0.9*I637+1.3*L639*0.9*M637+R639*F637),4)</f>
        <v>6.1710000000000003</v>
      </c>
      <c r="X639" s="207">
        <f>ROUND((L639*I637+1.3*L639*M637+R639*F637),4)</f>
        <v>6.7919999999999998</v>
      </c>
      <c r="Y639" s="385">
        <f>ROUND((O637*S639*E637*N637/1000000),4)</f>
        <v>1.26E-2</v>
      </c>
      <c r="Z639" s="385">
        <f>ROUND((P637*T639*E637*N637/1000000),4)</f>
        <v>6.7999999999999996E-3</v>
      </c>
      <c r="AA639" s="385">
        <f>ROUND((Q637*U639*E637*N637/1000000),4)</f>
        <v>7.9000000000000008E-3</v>
      </c>
      <c r="AB639" s="931" t="s">
        <v>56</v>
      </c>
      <c r="AC639" s="932" t="s">
        <v>57</v>
      </c>
      <c r="AD639" s="933">
        <f>ROUND((((W639*D637)/1800)),4)</f>
        <v>3.3999999999999998E-3</v>
      </c>
      <c r="AE639" s="933">
        <f>ROUND(((Y639+Z639+AA639)),5)</f>
        <v>2.7300000000000001E-2</v>
      </c>
      <c r="AF639" s="61"/>
      <c r="AG639" s="61"/>
      <c r="AH639" s="61"/>
      <c r="AI639" s="61"/>
    </row>
    <row r="640" spans="1:35" s="417" customFormat="1" ht="15" customHeight="1" x14ac:dyDescent="0.2">
      <c r="A640" s="558"/>
      <c r="B640" s="387"/>
      <c r="C640" s="387"/>
      <c r="D640" s="209"/>
      <c r="E640" s="209"/>
      <c r="F640" s="209"/>
      <c r="G640" s="209"/>
      <c r="H640" s="209"/>
      <c r="I640" s="209"/>
      <c r="J640" s="209"/>
      <c r="K640" s="209">
        <v>0.43</v>
      </c>
      <c r="L640" s="209">
        <v>0.51</v>
      </c>
      <c r="M640" s="209"/>
      <c r="N640" s="209"/>
      <c r="O640" s="209"/>
      <c r="P640" s="209"/>
      <c r="Q640" s="209"/>
      <c r="R640" s="133">
        <v>0.3</v>
      </c>
      <c r="S640" s="207">
        <f>ROUND((K640*H637+1.3*K640*J637+R640*G637),4)</f>
        <v>162.80250000000001</v>
      </c>
      <c r="T640" s="207">
        <f>ROUND((L640*0.9*H637+1.3*L640*0.9*J637+R640*G637),4)</f>
        <v>172.56829999999999</v>
      </c>
      <c r="U640" s="207">
        <f>ROUND((L640*H637+1.3*L640*J637+R640*G637),4)</f>
        <v>189.74250000000001</v>
      </c>
      <c r="V640" s="207">
        <f>ROUND((K640*I637+1.3*K640*M637+R640*F637),4)</f>
        <v>13.41</v>
      </c>
      <c r="W640" s="207">
        <f>ROUND((L640*0.9*I637+1.3*L640*0.9*M637+R640*F637),4)</f>
        <v>14.193</v>
      </c>
      <c r="X640" s="207">
        <f>ROUND((L640*I637+1.3*M637+R640*F637),4)</f>
        <v>21.94</v>
      </c>
      <c r="Y640" s="385">
        <f>ROUND((O637*S640*E637*N637/1000000),4)</f>
        <v>2.93E-2</v>
      </c>
      <c r="Z640" s="385">
        <f>ROUND((P637*T640*E637*N637/1000000),4)</f>
        <v>1.55E-2</v>
      </c>
      <c r="AA640" s="385">
        <f>ROUND((Q637*U640*E637*N637/1000000),4)</f>
        <v>1.7999999999999999E-2</v>
      </c>
      <c r="AB640" s="931" t="s">
        <v>177</v>
      </c>
      <c r="AC640" s="932" t="s">
        <v>178</v>
      </c>
      <c r="AD640" s="933">
        <f>ROUND((((W640*D637)/1800)),4)</f>
        <v>7.9000000000000008E-3</v>
      </c>
      <c r="AE640" s="933">
        <f>ROUND(((Y640+Z640+AA640)),4)</f>
        <v>6.2799999999999995E-2</v>
      </c>
      <c r="AF640" s="61"/>
      <c r="AG640" s="61"/>
      <c r="AH640" s="61"/>
      <c r="AI640" s="61"/>
    </row>
    <row r="641" spans="1:35" s="417" customFormat="1" ht="15" customHeight="1" x14ac:dyDescent="0.2">
      <c r="A641" s="558"/>
      <c r="B641" s="387"/>
      <c r="C641" s="387"/>
      <c r="D641" s="209"/>
      <c r="E641" s="209"/>
      <c r="F641" s="209"/>
      <c r="G641" s="209"/>
      <c r="H641" s="209"/>
      <c r="I641" s="209"/>
      <c r="J641" s="209"/>
      <c r="K641" s="209">
        <v>0.27</v>
      </c>
      <c r="L641" s="209">
        <v>0.41</v>
      </c>
      <c r="M641" s="209"/>
      <c r="N641" s="209"/>
      <c r="O641" s="209"/>
      <c r="P641" s="209"/>
      <c r="Q641" s="209"/>
      <c r="R641" s="133">
        <v>0.06</v>
      </c>
      <c r="S641" s="207">
        <f>ROUND((K641*H637+1.3*K641*J637+R641*G637),4)</f>
        <v>94.522499999999994</v>
      </c>
      <c r="T641" s="207">
        <f>ROUND((L641*0.9*H637+1.3*L641*0.9*J637+R641*G637),4)</f>
        <v>127.8608</v>
      </c>
      <c r="U641" s="207">
        <f>ROUND((L641*H637+1.3*L641*J637+R641*G637),4)</f>
        <v>141.66749999999999</v>
      </c>
      <c r="V641" s="207">
        <f>ROUND((K641*I637+1.3*K641*M637+R641*F637),4)</f>
        <v>7.65</v>
      </c>
      <c r="W641" s="207">
        <f>ROUND((L641*0.9*I637+1.3*L641*0.9*M637+R641*F637),4)</f>
        <v>10.323</v>
      </c>
      <c r="X641" s="207">
        <f>ROUND((L641*I637+1.3*L641*M637+R641*F637),4)</f>
        <v>11.43</v>
      </c>
      <c r="Y641" s="385">
        <f>ROUND((O637*S641*E637*N637/1000000),4)</f>
        <v>1.7000000000000001E-2</v>
      </c>
      <c r="Z641" s="385">
        <f>ROUND((P637*T641*E637*N637/1000000),4)</f>
        <v>1.15E-2</v>
      </c>
      <c r="AA641" s="385">
        <f>ROUND((Q637*U641*E637*N637/1000000),4)</f>
        <v>1.35E-2</v>
      </c>
      <c r="AB641" s="931" t="s">
        <v>61</v>
      </c>
      <c r="AC641" s="932" t="s">
        <v>62</v>
      </c>
      <c r="AD641" s="933">
        <f>ROUND((((W641*D637)/1800)),4)</f>
        <v>5.7000000000000002E-3</v>
      </c>
      <c r="AE641" s="933">
        <f>ROUND(((Y641+Z641+AA641)),4)</f>
        <v>4.2000000000000003E-2</v>
      </c>
      <c r="AF641" s="61"/>
      <c r="AG641" s="61"/>
      <c r="AH641" s="61"/>
      <c r="AI641" s="61"/>
    </row>
    <row r="642" spans="1:35" s="417" customFormat="1" ht="15" customHeight="1" x14ac:dyDescent="0.2">
      <c r="A642" s="563"/>
      <c r="B642" s="214"/>
      <c r="C642" s="214"/>
      <c r="D642" s="210"/>
      <c r="E642" s="210"/>
      <c r="F642" s="210"/>
      <c r="G642" s="210"/>
      <c r="H642" s="210"/>
      <c r="I642" s="210"/>
      <c r="J642" s="210"/>
      <c r="K642" s="210">
        <v>1.29</v>
      </c>
      <c r="L642" s="210">
        <v>1.57</v>
      </c>
      <c r="M642" s="210"/>
      <c r="N642" s="210"/>
      <c r="O642" s="210"/>
      <c r="P642" s="210"/>
      <c r="Q642" s="210"/>
      <c r="R642" s="133">
        <v>2.4</v>
      </c>
      <c r="S642" s="134">
        <f>ROUND((K642*H637+1.3*K642*J637+R642*G637),4)</f>
        <v>578.40750000000003</v>
      </c>
      <c r="T642" s="134">
        <f>ROUND((L642*0.9*H637+1.3*L642*0.9*J637+R642*G637),4)</f>
        <v>619.82780000000002</v>
      </c>
      <c r="U642" s="134">
        <f>ROUND((L642*H637+1.3*L642*J637+R642*G637),4)</f>
        <v>672.69749999999999</v>
      </c>
      <c r="V642" s="134">
        <f>ROUND((K642*I637+1.3*K642*M637+R642*F637),4)</f>
        <v>49.23</v>
      </c>
      <c r="W642" s="134">
        <f>ROUND((L642*0.9*I637+1.3*L642*0.9*M637+R642*F637),4)</f>
        <v>52.551000000000002</v>
      </c>
      <c r="X642" s="134">
        <f>ROUND((L642*I637+1.3*L642*M637+R642*F637),4)</f>
        <v>56.79</v>
      </c>
      <c r="Y642" s="394">
        <f>ROUND((O637*S642*E637*N637/1000000),4)</f>
        <v>0.1041</v>
      </c>
      <c r="Z642" s="394">
        <f>ROUND((P637*T642*E637*N637/1000000),4)</f>
        <v>5.5800000000000002E-2</v>
      </c>
      <c r="AA642" s="394">
        <f>ROUND((Q637*U642*E637*N637/1000000),4)</f>
        <v>6.3899999999999998E-2</v>
      </c>
      <c r="AB642" s="931" t="s">
        <v>65</v>
      </c>
      <c r="AC642" s="932" t="s">
        <v>66</v>
      </c>
      <c r="AD642" s="933">
        <f>ROUND((((W642*D637)/1800)),4)</f>
        <v>2.92E-2</v>
      </c>
      <c r="AE642" s="933">
        <f>ROUND(((Y642+Z642+AA642)),4)</f>
        <v>0.2238</v>
      </c>
      <c r="AF642" s="61">
        <f>SUM(AD637:AD642)</f>
        <v>8.2100000000000006E-2</v>
      </c>
      <c r="AG642" s="61">
        <f>SUM(AE637:AE642)</f>
        <v>0.6480999999999999</v>
      </c>
      <c r="AH642" s="61"/>
      <c r="AI642" s="61"/>
    </row>
    <row r="643" spans="1:35" s="417" customFormat="1" ht="15" customHeight="1" x14ac:dyDescent="0.2">
      <c r="A643" s="1449" t="s">
        <v>710</v>
      </c>
      <c r="B643" s="1450"/>
      <c r="C643" s="1451"/>
      <c r="D643" s="1451"/>
      <c r="E643" s="1451"/>
      <c r="F643" s="1451"/>
      <c r="G643" s="1451"/>
      <c r="H643" s="1451"/>
      <c r="I643" s="1451"/>
      <c r="J643" s="1451"/>
      <c r="K643" s="1451"/>
      <c r="L643" s="1451"/>
      <c r="M643" s="1451"/>
      <c r="N643" s="1451"/>
      <c r="O643" s="1451"/>
      <c r="P643" s="1451"/>
      <c r="Q643" s="1451"/>
      <c r="R643" s="1451"/>
      <c r="S643" s="1451"/>
      <c r="T643" s="1451"/>
      <c r="U643" s="1451"/>
      <c r="V643" s="1451"/>
      <c r="W643" s="1451"/>
      <c r="X643" s="1451"/>
      <c r="Y643" s="1451"/>
      <c r="Z643" s="1451"/>
      <c r="AA643" s="1451"/>
      <c r="AB643" s="1451"/>
      <c r="AC643" s="1451"/>
      <c r="AD643" s="1451"/>
      <c r="AE643" s="1452"/>
      <c r="AF643" s="61"/>
      <c r="AG643" s="61"/>
      <c r="AH643" s="61"/>
      <c r="AI643" s="61"/>
    </row>
    <row r="644" spans="1:35" s="417" customFormat="1" ht="15" customHeight="1" x14ac:dyDescent="0.2">
      <c r="A644" s="551" t="s">
        <v>706</v>
      </c>
      <c r="B644" s="398" t="s">
        <v>343</v>
      </c>
      <c r="C644" s="212">
        <v>4</v>
      </c>
      <c r="D644" s="170">
        <v>1</v>
      </c>
      <c r="E644" s="170">
        <v>1</v>
      </c>
      <c r="F644" s="170">
        <v>6</v>
      </c>
      <c r="G644" s="170">
        <v>60</v>
      </c>
      <c r="H644" s="170">
        <f>(8-1-0.75*2)*60*E644-J644-8*0.12*60</f>
        <v>57.900000000000006</v>
      </c>
      <c r="I644" s="170">
        <v>14</v>
      </c>
      <c r="J644" s="170">
        <f>(8-1-0.75*2)*0.65*60*E644</f>
        <v>214.5</v>
      </c>
      <c r="K644" s="170">
        <v>2.4700000000000002</v>
      </c>
      <c r="L644" s="170">
        <v>2.4700000000000002</v>
      </c>
      <c r="M644" s="170">
        <v>10</v>
      </c>
      <c r="N644" s="170">
        <f>D644/E644</f>
        <v>1</v>
      </c>
      <c r="O644" s="170">
        <v>173</v>
      </c>
      <c r="P644" s="170">
        <v>0</v>
      </c>
      <c r="Q644" s="211">
        <v>0</v>
      </c>
      <c r="R644" s="170">
        <v>0.48</v>
      </c>
      <c r="S644" s="207">
        <f>ROUND((K644*H644+1.3*K644*J644+R644*G644),4)</f>
        <v>860.57249999999999</v>
      </c>
      <c r="T644" s="207">
        <f>ROUND((L644*H644+1.3*L644*J644+R644*G644),4)</f>
        <v>860.57249999999999</v>
      </c>
      <c r="U644" s="207">
        <f>ROUND((L644*H644+1.3*L644*J644+R644*G644),4)</f>
        <v>860.57249999999999</v>
      </c>
      <c r="V644" s="207">
        <f>ROUND((K644*I644+1.3*K644*M644+R644*F644),4)</f>
        <v>69.569999999999993</v>
      </c>
      <c r="W644" s="207">
        <f>ROUND((L644*I644+1.3*L644*M644+R644*F644),4)</f>
        <v>69.569999999999993</v>
      </c>
      <c r="X644" s="207">
        <f>ROUND((L644*I644+1.3*L644*M644+R644*F644),4)</f>
        <v>69.569999999999993</v>
      </c>
      <c r="Y644" s="385">
        <f>ROUND((O644*S644*E644*N644/1000000),4)</f>
        <v>0.1489</v>
      </c>
      <c r="Z644" s="385">
        <f>ROUND((P644*T644*E644*N644/1000000),4)</f>
        <v>0</v>
      </c>
      <c r="AA644" s="385">
        <f>ROUND((Q644*U644*E644*N644/1000000),4)</f>
        <v>0</v>
      </c>
      <c r="AB644" s="931" t="s">
        <v>48</v>
      </c>
      <c r="AC644" s="932" t="s">
        <v>49</v>
      </c>
      <c r="AD644" s="933">
        <f>ROUND((((W644*D644)/1800)*0.8),4)</f>
        <v>3.09E-2</v>
      </c>
      <c r="AE644" s="933">
        <f>ROUND(((Y644+Z644+AA644)*0.8),4)</f>
        <v>0.1191</v>
      </c>
      <c r="AF644" s="61"/>
      <c r="AG644" s="61"/>
      <c r="AH644" s="61"/>
      <c r="AI644" s="61"/>
    </row>
    <row r="645" spans="1:35" s="417" customFormat="1" ht="15" customHeight="1" x14ac:dyDescent="0.2">
      <c r="A645" s="552" t="s">
        <v>166</v>
      </c>
      <c r="B645" s="399" t="s">
        <v>359</v>
      </c>
      <c r="C645" s="387"/>
      <c r="D645" s="209"/>
      <c r="E645" s="209"/>
      <c r="F645" s="209"/>
      <c r="G645" s="209"/>
      <c r="H645" s="209"/>
      <c r="I645" s="209"/>
      <c r="J645" s="209"/>
      <c r="K645" s="209"/>
      <c r="L645" s="209"/>
      <c r="M645" s="209"/>
      <c r="N645" s="209"/>
      <c r="O645" s="209"/>
      <c r="P645" s="209"/>
      <c r="Q645" s="209"/>
      <c r="R645" s="388"/>
      <c r="S645" s="215"/>
      <c r="T645" s="215"/>
      <c r="U645" s="215"/>
      <c r="V645" s="215"/>
      <c r="W645" s="215"/>
      <c r="X645" s="215"/>
      <c r="Y645" s="215"/>
      <c r="Z645" s="215"/>
      <c r="AA645" s="215"/>
      <c r="AB645" s="931" t="s">
        <v>51</v>
      </c>
      <c r="AC645" s="932" t="s">
        <v>52</v>
      </c>
      <c r="AD645" s="933">
        <f>ROUND((((W644*D644)/1800)*0.13),4)</f>
        <v>5.0000000000000001E-3</v>
      </c>
      <c r="AE645" s="933">
        <f>ROUND(((Y644+Z644+AA644)*0.13),4)</f>
        <v>1.9400000000000001E-2</v>
      </c>
      <c r="AF645" s="61"/>
      <c r="AG645" s="61"/>
      <c r="AH645" s="61"/>
      <c r="AI645" s="61"/>
    </row>
    <row r="646" spans="1:35" s="417" customFormat="1" ht="15" customHeight="1" x14ac:dyDescent="0.2">
      <c r="A646" s="558"/>
      <c r="B646" s="387" t="s">
        <v>360</v>
      </c>
      <c r="C646" s="389"/>
      <c r="D646" s="209"/>
      <c r="E646" s="209"/>
      <c r="F646" s="209"/>
      <c r="G646" s="209"/>
      <c r="H646" s="209"/>
      <c r="I646" s="209"/>
      <c r="J646" s="209"/>
      <c r="K646" s="209">
        <v>0.19</v>
      </c>
      <c r="L646" s="209">
        <v>0.23</v>
      </c>
      <c r="M646" s="209"/>
      <c r="N646" s="209"/>
      <c r="O646" s="209"/>
      <c r="P646" s="209"/>
      <c r="Q646" s="209"/>
      <c r="R646" s="133">
        <v>9.7000000000000003E-2</v>
      </c>
      <c r="S646" s="207">
        <f>ROUND((K646*H644+1.3*K646*J644+R646*G644),4)</f>
        <v>69.802499999999995</v>
      </c>
      <c r="T646" s="207">
        <f>ROUND((L646*0.9*H644+1.3*L646*0.9*J644+R646*G644),4)</f>
        <v>75.527299999999997</v>
      </c>
      <c r="U646" s="207">
        <f>ROUND((L646*H644+1.3*L646*J644+R646*G644),4)</f>
        <v>83.272499999999994</v>
      </c>
      <c r="V646" s="207">
        <f>ROUND((K646*I644+1.3*K646*M644+R646*F644),4)</f>
        <v>5.7119999999999997</v>
      </c>
      <c r="W646" s="207">
        <f>ROUND((L646*0.9*I644+1.3*L646*0.9*M644+R646*F644),4)</f>
        <v>6.1710000000000003</v>
      </c>
      <c r="X646" s="207">
        <f>ROUND((L646*I644+1.3*L646*M644+R646*F644),4)</f>
        <v>6.7919999999999998</v>
      </c>
      <c r="Y646" s="385">
        <f>ROUND((O644*S646*E644*N644/1000000),4)</f>
        <v>1.21E-2</v>
      </c>
      <c r="Z646" s="385">
        <f>ROUND((P644*T646*E644*N644/1000000),4)</f>
        <v>0</v>
      </c>
      <c r="AA646" s="385">
        <f>ROUND((Q644*U646*E644*N644/1000000),4)</f>
        <v>0</v>
      </c>
      <c r="AB646" s="931" t="s">
        <v>56</v>
      </c>
      <c r="AC646" s="932" t="s">
        <v>57</v>
      </c>
      <c r="AD646" s="933">
        <f>ROUND((((W646*D644)/1800)),4)</f>
        <v>3.3999999999999998E-3</v>
      </c>
      <c r="AE646" s="933">
        <f>ROUND(((Y646+Z646+AA646)),5)</f>
        <v>1.21E-2</v>
      </c>
      <c r="AF646" s="61"/>
      <c r="AG646" s="61"/>
      <c r="AH646" s="61"/>
      <c r="AI646" s="61"/>
    </row>
    <row r="647" spans="1:35" s="417" customFormat="1" ht="15" customHeight="1" x14ac:dyDescent="0.2">
      <c r="A647" s="558"/>
      <c r="B647" s="387"/>
      <c r="C647" s="387"/>
      <c r="D647" s="209"/>
      <c r="E647" s="209"/>
      <c r="F647" s="209"/>
      <c r="G647" s="209"/>
      <c r="H647" s="209"/>
      <c r="I647" s="209"/>
      <c r="J647" s="209"/>
      <c r="K647" s="209">
        <v>0.43</v>
      </c>
      <c r="L647" s="209">
        <v>0.51</v>
      </c>
      <c r="M647" s="209"/>
      <c r="N647" s="209"/>
      <c r="O647" s="209"/>
      <c r="P647" s="209"/>
      <c r="Q647" s="209"/>
      <c r="R647" s="133">
        <v>0.3</v>
      </c>
      <c r="S647" s="207">
        <f>ROUND((K647*H644+1.3*K647*J644+R647*G644),4)</f>
        <v>162.80250000000001</v>
      </c>
      <c r="T647" s="207">
        <f>ROUND((L647*0.9*H644+1.3*L647*0.9*J644+R647*G644),4)</f>
        <v>172.56829999999999</v>
      </c>
      <c r="U647" s="207">
        <f>ROUND((L647*H644+1.3*L647*J644+R647*G644),4)</f>
        <v>189.74250000000001</v>
      </c>
      <c r="V647" s="207">
        <f>ROUND((K647*I644+1.3*K647*M644+R647*F644),4)</f>
        <v>13.41</v>
      </c>
      <c r="W647" s="207">
        <f>ROUND((L647*0.9*I644+1.3*L647*0.9*M644+R647*F644),4)</f>
        <v>14.193</v>
      </c>
      <c r="X647" s="207">
        <f>ROUND((L647*I644+1.3*M644+R647*F644),4)</f>
        <v>21.94</v>
      </c>
      <c r="Y647" s="385">
        <f>ROUND((O644*S647*E644*N644/1000000),4)</f>
        <v>2.8199999999999999E-2</v>
      </c>
      <c r="Z647" s="385">
        <f>ROUND((P644*T647*E644*N644/1000000),4)</f>
        <v>0</v>
      </c>
      <c r="AA647" s="385">
        <f>ROUND((Q644*U647*E644*N644/1000000),4)</f>
        <v>0</v>
      </c>
      <c r="AB647" s="931" t="s">
        <v>177</v>
      </c>
      <c r="AC647" s="932" t="s">
        <v>178</v>
      </c>
      <c r="AD647" s="933">
        <f>ROUND((((W647*D644)/1800)),4)</f>
        <v>7.9000000000000008E-3</v>
      </c>
      <c r="AE647" s="933">
        <f>ROUND(((Y647+Z647+AA647)),4)</f>
        <v>2.8199999999999999E-2</v>
      </c>
      <c r="AF647" s="61"/>
      <c r="AG647" s="61"/>
      <c r="AH647" s="61"/>
      <c r="AI647" s="61"/>
    </row>
    <row r="648" spans="1:35" s="417" customFormat="1" ht="15" customHeight="1" x14ac:dyDescent="0.2">
      <c r="A648" s="558"/>
      <c r="B648" s="387"/>
      <c r="C648" s="387"/>
      <c r="D648" s="209"/>
      <c r="E648" s="209"/>
      <c r="F648" s="209"/>
      <c r="G648" s="209"/>
      <c r="H648" s="209"/>
      <c r="I648" s="209"/>
      <c r="J648" s="209"/>
      <c r="K648" s="209">
        <v>0.27</v>
      </c>
      <c r="L648" s="209">
        <v>0.41</v>
      </c>
      <c r="M648" s="209"/>
      <c r="N648" s="209"/>
      <c r="O648" s="209"/>
      <c r="P648" s="209"/>
      <c r="Q648" s="209"/>
      <c r="R648" s="133">
        <v>0.06</v>
      </c>
      <c r="S648" s="207">
        <f>ROUND((K648*H644+1.3*K648*J644+R648*G644),4)</f>
        <v>94.522499999999994</v>
      </c>
      <c r="T648" s="207">
        <f>ROUND((L648*0.9*H644+1.3*L648*0.9*J644+R648*G644),4)</f>
        <v>127.8608</v>
      </c>
      <c r="U648" s="207">
        <f>ROUND((L648*H644+1.3*L648*J644+R648*G644),4)</f>
        <v>141.66749999999999</v>
      </c>
      <c r="V648" s="207">
        <f>ROUND((K648*I644+1.3*K648*M644+R648*F644),4)</f>
        <v>7.65</v>
      </c>
      <c r="W648" s="207">
        <f>ROUND((L648*0.9*I644+1.3*L648*0.9*M644+R648*F644),4)</f>
        <v>10.323</v>
      </c>
      <c r="X648" s="207">
        <f>ROUND((L648*I644+1.3*L648*M644+R648*F644),4)</f>
        <v>11.43</v>
      </c>
      <c r="Y648" s="385">
        <f>ROUND((O644*S648*E644*N644/1000000),4)</f>
        <v>1.6400000000000001E-2</v>
      </c>
      <c r="Z648" s="385">
        <f>ROUND((P644*T648*E644*N644/1000000),4)</f>
        <v>0</v>
      </c>
      <c r="AA648" s="385">
        <f>ROUND((Q644*U648*E644*N644/1000000),4)</f>
        <v>0</v>
      </c>
      <c r="AB648" s="931" t="s">
        <v>61</v>
      </c>
      <c r="AC648" s="932" t="s">
        <v>62</v>
      </c>
      <c r="AD648" s="933">
        <f>ROUND((((W648*D644)/1800)),4)</f>
        <v>5.7000000000000002E-3</v>
      </c>
      <c r="AE648" s="933">
        <f>ROUND(((Y648+Z648+AA648)),4)</f>
        <v>1.6400000000000001E-2</v>
      </c>
      <c r="AF648" s="61"/>
      <c r="AG648" s="61"/>
      <c r="AH648" s="61"/>
      <c r="AI648" s="61"/>
    </row>
    <row r="649" spans="1:35" s="417" customFormat="1" ht="15" customHeight="1" x14ac:dyDescent="0.2">
      <c r="A649" s="563"/>
      <c r="B649" s="214"/>
      <c r="C649" s="214"/>
      <c r="D649" s="210"/>
      <c r="E649" s="210"/>
      <c r="F649" s="210"/>
      <c r="G649" s="210"/>
      <c r="H649" s="210"/>
      <c r="I649" s="210"/>
      <c r="J649" s="210"/>
      <c r="K649" s="210">
        <v>1.29</v>
      </c>
      <c r="L649" s="210">
        <v>1.57</v>
      </c>
      <c r="M649" s="210"/>
      <c r="N649" s="210"/>
      <c r="O649" s="210"/>
      <c r="P649" s="210"/>
      <c r="Q649" s="210"/>
      <c r="R649" s="133">
        <v>2.4</v>
      </c>
      <c r="S649" s="134">
        <f>ROUND((K649*H644+1.3*K649*J644+R649*G644),4)</f>
        <v>578.40750000000003</v>
      </c>
      <c r="T649" s="134">
        <f>ROUND((L649*0.9*H644+1.3*L649*0.9*J644+R649*G644),4)</f>
        <v>619.82780000000002</v>
      </c>
      <c r="U649" s="134">
        <f>ROUND((L649*H644+1.3*L649*J644+R649*G644),4)</f>
        <v>672.69749999999999</v>
      </c>
      <c r="V649" s="134">
        <f>ROUND((K649*I644+1.3*K649*M644+R649*F644),4)</f>
        <v>49.23</v>
      </c>
      <c r="W649" s="134">
        <f>ROUND((L649*0.9*I644+1.3*L649*0.9*M644+R649*F644),4)</f>
        <v>52.551000000000002</v>
      </c>
      <c r="X649" s="134">
        <f>ROUND((L649*I644+1.3*L649*M644+R649*F644),4)</f>
        <v>56.79</v>
      </c>
      <c r="Y649" s="394">
        <f>ROUND((O644*S649*E644*N644/1000000),4)</f>
        <v>0.10009999999999999</v>
      </c>
      <c r="Z649" s="394">
        <f>ROUND((P644*T649*E644*N644/1000000),4)</f>
        <v>0</v>
      </c>
      <c r="AA649" s="394">
        <f>ROUND((Q644*U649*E644*N644/1000000),4)</f>
        <v>0</v>
      </c>
      <c r="AB649" s="931" t="s">
        <v>65</v>
      </c>
      <c r="AC649" s="932" t="s">
        <v>66</v>
      </c>
      <c r="AD649" s="933">
        <f>ROUND((((W649*D644)/1800)),4)</f>
        <v>2.92E-2</v>
      </c>
      <c r="AE649" s="933">
        <f>ROUND(((Y649+Z649+AA649)),4)</f>
        <v>0.10009999999999999</v>
      </c>
      <c r="AF649" s="61">
        <f>SUM(AD644:AD649)</f>
        <v>8.2100000000000006E-2</v>
      </c>
      <c r="AG649" s="61">
        <f>SUM(AE644:AE649)</f>
        <v>0.29530000000000001</v>
      </c>
      <c r="AH649" s="61"/>
      <c r="AI649" s="61"/>
    </row>
    <row r="650" spans="1:35" s="417" customFormat="1" ht="15" customHeight="1" x14ac:dyDescent="0.2">
      <c r="A650" s="1449" t="s">
        <v>711</v>
      </c>
      <c r="B650" s="1450"/>
      <c r="C650" s="1451"/>
      <c r="D650" s="1451"/>
      <c r="E650" s="1451"/>
      <c r="F650" s="1451"/>
      <c r="G650" s="1451"/>
      <c r="H650" s="1451"/>
      <c r="I650" s="1451"/>
      <c r="J650" s="1451"/>
      <c r="K650" s="1451"/>
      <c r="L650" s="1451"/>
      <c r="M650" s="1451"/>
      <c r="N650" s="1451"/>
      <c r="O650" s="1451"/>
      <c r="P650" s="1451"/>
      <c r="Q650" s="1451"/>
      <c r="R650" s="1451"/>
      <c r="S650" s="1451"/>
      <c r="T650" s="1451"/>
      <c r="U650" s="1451"/>
      <c r="V650" s="1451"/>
      <c r="W650" s="1451"/>
      <c r="X650" s="1451"/>
      <c r="Y650" s="1451"/>
      <c r="Z650" s="1451"/>
      <c r="AA650" s="1451"/>
      <c r="AB650" s="1451"/>
      <c r="AC650" s="1451"/>
      <c r="AD650" s="1451"/>
      <c r="AE650" s="1452"/>
      <c r="AF650" s="61"/>
      <c r="AG650" s="61"/>
      <c r="AH650" s="61"/>
      <c r="AI650" s="61"/>
    </row>
    <row r="651" spans="1:35" s="417" customFormat="1" ht="15" customHeight="1" x14ac:dyDescent="0.2">
      <c r="A651" s="551" t="s">
        <v>708</v>
      </c>
      <c r="B651" s="398" t="s">
        <v>343</v>
      </c>
      <c r="C651" s="212">
        <v>4</v>
      </c>
      <c r="D651" s="170">
        <v>1</v>
      </c>
      <c r="E651" s="170">
        <v>1</v>
      </c>
      <c r="F651" s="170">
        <v>6</v>
      </c>
      <c r="G651" s="170">
        <v>60</v>
      </c>
      <c r="H651" s="170">
        <f>(8-1-0.75*2)*60*E651-J651-8*0.12*60</f>
        <v>57.900000000000006</v>
      </c>
      <c r="I651" s="170">
        <v>14</v>
      </c>
      <c r="J651" s="170">
        <f>(8-1-0.75*2)*0.65*60*E651</f>
        <v>214.5</v>
      </c>
      <c r="K651" s="170">
        <v>2.4700000000000002</v>
      </c>
      <c r="L651" s="170">
        <v>2.4700000000000002</v>
      </c>
      <c r="M651" s="170">
        <v>10</v>
      </c>
      <c r="N651" s="170">
        <f>D651/E651</f>
        <v>1</v>
      </c>
      <c r="O651" s="170">
        <v>173</v>
      </c>
      <c r="P651" s="170">
        <v>0</v>
      </c>
      <c r="Q651" s="211">
        <v>0</v>
      </c>
      <c r="R651" s="170">
        <v>0.48</v>
      </c>
      <c r="S651" s="207">
        <f>ROUND((K651*H651+1.3*K651*J651+R651*G651),4)</f>
        <v>860.57249999999999</v>
      </c>
      <c r="T651" s="207">
        <f>ROUND((L651*H651+1.3*L651*J651+R651*G651),4)</f>
        <v>860.57249999999999</v>
      </c>
      <c r="U651" s="207">
        <f>ROUND((L651*H651+1.3*L651*J651+R651*G651),4)</f>
        <v>860.57249999999999</v>
      </c>
      <c r="V651" s="207">
        <f>ROUND((K651*I651+1.3*K651*M651+R651*F651),4)</f>
        <v>69.569999999999993</v>
      </c>
      <c r="W651" s="207">
        <f>ROUND((L651*I651+1.3*L651*M651+R651*F651),4)</f>
        <v>69.569999999999993</v>
      </c>
      <c r="X651" s="207">
        <f>ROUND((L651*I651+1.3*L651*M651+R651*F651),4)</f>
        <v>69.569999999999993</v>
      </c>
      <c r="Y651" s="385">
        <f>ROUND((O651*S651*E651*N651/1000000),4)</f>
        <v>0.1489</v>
      </c>
      <c r="Z651" s="385">
        <f>ROUND((P651*T651*E651*N651/1000000),4)</f>
        <v>0</v>
      </c>
      <c r="AA651" s="385">
        <f>ROUND((Q651*U651*E651*N651/1000000),4)</f>
        <v>0</v>
      </c>
      <c r="AB651" s="931" t="s">
        <v>48</v>
      </c>
      <c r="AC651" s="932" t="s">
        <v>49</v>
      </c>
      <c r="AD651" s="933">
        <f>ROUND((((W651*D651)/1800)*0.8),4)</f>
        <v>3.09E-2</v>
      </c>
      <c r="AE651" s="933">
        <f>ROUND(((Y651+Z651+AA651)*0.8),4)</f>
        <v>0.1191</v>
      </c>
      <c r="AF651" s="61"/>
      <c r="AG651" s="61"/>
      <c r="AH651" s="61"/>
      <c r="AI651" s="61"/>
    </row>
    <row r="652" spans="1:35" s="417" customFormat="1" ht="15" customHeight="1" x14ac:dyDescent="0.2">
      <c r="A652" s="552" t="s">
        <v>166</v>
      </c>
      <c r="B652" s="399" t="s">
        <v>359</v>
      </c>
      <c r="C652" s="387"/>
      <c r="D652" s="209"/>
      <c r="E652" s="209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388"/>
      <c r="S652" s="215"/>
      <c r="T652" s="215"/>
      <c r="U652" s="215"/>
      <c r="V652" s="215"/>
      <c r="W652" s="215"/>
      <c r="X652" s="215"/>
      <c r="Y652" s="215"/>
      <c r="Z652" s="215"/>
      <c r="AA652" s="215"/>
      <c r="AB652" s="931" t="s">
        <v>51</v>
      </c>
      <c r="AC652" s="932" t="s">
        <v>52</v>
      </c>
      <c r="AD652" s="933">
        <f>ROUND((((W651*D651)/1800)*0.13),4)</f>
        <v>5.0000000000000001E-3</v>
      </c>
      <c r="AE652" s="933">
        <f>ROUND(((Y651+Z651+AA651)*0.13),4)</f>
        <v>1.9400000000000001E-2</v>
      </c>
      <c r="AF652" s="61"/>
      <c r="AG652" s="61"/>
      <c r="AH652" s="61"/>
      <c r="AI652" s="61"/>
    </row>
    <row r="653" spans="1:35" s="417" customFormat="1" ht="15" customHeight="1" x14ac:dyDescent="0.2">
      <c r="A653" s="558"/>
      <c r="B653" s="387" t="s">
        <v>360</v>
      </c>
      <c r="C653" s="389"/>
      <c r="D653" s="209"/>
      <c r="E653" s="209"/>
      <c r="F653" s="209"/>
      <c r="G653" s="209"/>
      <c r="H653" s="209"/>
      <c r="I653" s="209"/>
      <c r="J653" s="209"/>
      <c r="K653" s="209">
        <v>0.19</v>
      </c>
      <c r="L653" s="209">
        <v>0.23</v>
      </c>
      <c r="M653" s="209"/>
      <c r="N653" s="209"/>
      <c r="O653" s="209"/>
      <c r="P653" s="209"/>
      <c r="Q653" s="209"/>
      <c r="R653" s="133">
        <v>9.7000000000000003E-2</v>
      </c>
      <c r="S653" s="207">
        <f>ROUND((K653*H651+1.3*K653*J651+R653*G651),4)</f>
        <v>69.802499999999995</v>
      </c>
      <c r="T653" s="207">
        <f>ROUND((L653*0.9*H651+1.3*L653*0.9*J651+R653*G651),4)</f>
        <v>75.527299999999997</v>
      </c>
      <c r="U653" s="207">
        <f>ROUND((L653*H651+1.3*L653*J651+R653*G651),4)</f>
        <v>83.272499999999994</v>
      </c>
      <c r="V653" s="207">
        <f>ROUND((K653*I651+1.3*K653*M651+R653*F651),4)</f>
        <v>5.7119999999999997</v>
      </c>
      <c r="W653" s="207">
        <f>ROUND((L653*0.9*I651+1.3*L653*0.9*M651+R653*F651),4)</f>
        <v>6.1710000000000003</v>
      </c>
      <c r="X653" s="207">
        <f>ROUND((L653*I651+1.3*L653*M651+R653*F651),4)</f>
        <v>6.7919999999999998</v>
      </c>
      <c r="Y653" s="385">
        <f>ROUND((O651*S653*E651*N651/1000000),4)</f>
        <v>1.21E-2</v>
      </c>
      <c r="Z653" s="385">
        <f>ROUND((P651*T653*E651*N651/1000000),4)</f>
        <v>0</v>
      </c>
      <c r="AA653" s="385">
        <f>ROUND((Q651*U653*E651*N651/1000000),4)</f>
        <v>0</v>
      </c>
      <c r="AB653" s="931" t="s">
        <v>56</v>
      </c>
      <c r="AC653" s="932" t="s">
        <v>57</v>
      </c>
      <c r="AD653" s="933">
        <f>ROUND((((W653*D651)/1800)),4)</f>
        <v>3.3999999999999998E-3</v>
      </c>
      <c r="AE653" s="933">
        <f>ROUND(((Y653+Z653+AA653)),5)</f>
        <v>1.21E-2</v>
      </c>
      <c r="AF653" s="61"/>
      <c r="AG653" s="61"/>
      <c r="AH653" s="61"/>
      <c r="AI653" s="61"/>
    </row>
    <row r="654" spans="1:35" s="417" customFormat="1" ht="15" customHeight="1" x14ac:dyDescent="0.2">
      <c r="A654" s="558"/>
      <c r="B654" s="387"/>
      <c r="C654" s="387"/>
      <c r="D654" s="209"/>
      <c r="E654" s="209"/>
      <c r="F654" s="209"/>
      <c r="G654" s="209"/>
      <c r="H654" s="209"/>
      <c r="I654" s="209"/>
      <c r="J654" s="209"/>
      <c r="K654" s="209">
        <v>0.43</v>
      </c>
      <c r="L654" s="209">
        <v>0.51</v>
      </c>
      <c r="M654" s="209"/>
      <c r="N654" s="209"/>
      <c r="O654" s="209"/>
      <c r="P654" s="209"/>
      <c r="Q654" s="209"/>
      <c r="R654" s="133">
        <v>0.3</v>
      </c>
      <c r="S654" s="207">
        <f>ROUND((K654*H651+1.3*K654*J651+R654*G651),4)</f>
        <v>162.80250000000001</v>
      </c>
      <c r="T654" s="207">
        <f>ROUND((L654*0.9*H651+1.3*L654*0.9*J651+R654*G651),4)</f>
        <v>172.56829999999999</v>
      </c>
      <c r="U654" s="207">
        <f>ROUND((L654*H651+1.3*L654*J651+R654*G651),4)</f>
        <v>189.74250000000001</v>
      </c>
      <c r="V654" s="207">
        <f>ROUND((K654*I651+1.3*K654*M651+R654*F651),4)</f>
        <v>13.41</v>
      </c>
      <c r="W654" s="207">
        <f>ROUND((L654*0.9*I651+1.3*L654*0.9*M651+R654*F651),4)</f>
        <v>14.193</v>
      </c>
      <c r="X654" s="207">
        <f>ROUND((L654*I651+1.3*M651+R654*F651),4)</f>
        <v>21.94</v>
      </c>
      <c r="Y654" s="385">
        <f>ROUND((O651*S654*E651*N651/1000000),4)</f>
        <v>2.8199999999999999E-2</v>
      </c>
      <c r="Z654" s="385">
        <f>ROUND((P651*T654*E651*N651/1000000),4)</f>
        <v>0</v>
      </c>
      <c r="AA654" s="385">
        <f>ROUND((Q651*U654*E651*N651/1000000),4)</f>
        <v>0</v>
      </c>
      <c r="AB654" s="931" t="s">
        <v>177</v>
      </c>
      <c r="AC654" s="932" t="s">
        <v>178</v>
      </c>
      <c r="AD654" s="933">
        <f>ROUND((((W654*D651)/1800)),4)</f>
        <v>7.9000000000000008E-3</v>
      </c>
      <c r="AE654" s="933">
        <f>ROUND(((Y654+Z654+AA654)),4)</f>
        <v>2.8199999999999999E-2</v>
      </c>
      <c r="AF654" s="61"/>
      <c r="AG654" s="61"/>
      <c r="AH654" s="61"/>
      <c r="AI654" s="61"/>
    </row>
    <row r="655" spans="1:35" s="417" customFormat="1" ht="15" customHeight="1" x14ac:dyDescent="0.2">
      <c r="A655" s="558"/>
      <c r="B655" s="387"/>
      <c r="C655" s="387"/>
      <c r="D655" s="209"/>
      <c r="E655" s="209"/>
      <c r="F655" s="209"/>
      <c r="G655" s="209"/>
      <c r="H655" s="209"/>
      <c r="I655" s="209"/>
      <c r="J655" s="209"/>
      <c r="K655" s="209">
        <v>0.27</v>
      </c>
      <c r="L655" s="209">
        <v>0.41</v>
      </c>
      <c r="M655" s="209"/>
      <c r="N655" s="209"/>
      <c r="O655" s="209"/>
      <c r="P655" s="209"/>
      <c r="Q655" s="209"/>
      <c r="R655" s="133">
        <v>0.06</v>
      </c>
      <c r="S655" s="207">
        <f>ROUND((K655*H651+1.3*K655*J651+R655*G651),4)</f>
        <v>94.522499999999994</v>
      </c>
      <c r="T655" s="207">
        <f>ROUND((L655*0.9*H651+1.3*L655*0.9*J651+R655*G651),4)</f>
        <v>127.8608</v>
      </c>
      <c r="U655" s="207">
        <f>ROUND((L655*H651+1.3*L655*J651+R655*G651),4)</f>
        <v>141.66749999999999</v>
      </c>
      <c r="V655" s="207">
        <f>ROUND((K655*I651+1.3*K655*M651+R655*F651),4)</f>
        <v>7.65</v>
      </c>
      <c r="W655" s="207">
        <f>ROUND((L655*0.9*I651+1.3*L655*0.9*M651+R655*F651),4)</f>
        <v>10.323</v>
      </c>
      <c r="X655" s="207">
        <f>ROUND((L655*I651+1.3*L655*M651+R655*F651),4)</f>
        <v>11.43</v>
      </c>
      <c r="Y655" s="385">
        <f>ROUND((O651*S655*E651*N651/1000000),4)</f>
        <v>1.6400000000000001E-2</v>
      </c>
      <c r="Z655" s="385">
        <f>ROUND((P651*T655*E651*N651/1000000),4)</f>
        <v>0</v>
      </c>
      <c r="AA655" s="385">
        <f>ROUND((Q651*U655*E651*N651/1000000),4)</f>
        <v>0</v>
      </c>
      <c r="AB655" s="931" t="s">
        <v>61</v>
      </c>
      <c r="AC655" s="932" t="s">
        <v>62</v>
      </c>
      <c r="AD655" s="933">
        <f>ROUND((((W655*D651)/1800)),4)</f>
        <v>5.7000000000000002E-3</v>
      </c>
      <c r="AE655" s="933">
        <f>ROUND(((Y655+Z655+AA655)),4)</f>
        <v>1.6400000000000001E-2</v>
      </c>
      <c r="AF655" s="61"/>
      <c r="AG655" s="61"/>
      <c r="AH655" s="61"/>
      <c r="AI655" s="61"/>
    </row>
    <row r="656" spans="1:35" s="417" customFormat="1" ht="15" customHeight="1" x14ac:dyDescent="0.2">
      <c r="A656" s="563"/>
      <c r="B656" s="214"/>
      <c r="C656" s="214"/>
      <c r="D656" s="210"/>
      <c r="E656" s="210"/>
      <c r="F656" s="210"/>
      <c r="G656" s="210"/>
      <c r="H656" s="210"/>
      <c r="I656" s="210"/>
      <c r="J656" s="210"/>
      <c r="K656" s="210">
        <v>1.29</v>
      </c>
      <c r="L656" s="210">
        <v>1.57</v>
      </c>
      <c r="M656" s="210"/>
      <c r="N656" s="210"/>
      <c r="O656" s="210"/>
      <c r="P656" s="210"/>
      <c r="Q656" s="210"/>
      <c r="R656" s="133">
        <v>2.4</v>
      </c>
      <c r="S656" s="134">
        <f>ROUND((K656*H651+1.3*K656*J651+R656*G651),4)</f>
        <v>578.40750000000003</v>
      </c>
      <c r="T656" s="134">
        <f>ROUND((L656*0.9*H651+1.3*L656*0.9*J651+R656*G651),4)</f>
        <v>619.82780000000002</v>
      </c>
      <c r="U656" s="134">
        <f>ROUND((L656*H651+1.3*L656*J651+R656*G651),4)</f>
        <v>672.69749999999999</v>
      </c>
      <c r="V656" s="134">
        <f>ROUND((K656*I651+1.3*K656*M651+R656*F651),4)</f>
        <v>49.23</v>
      </c>
      <c r="W656" s="134">
        <f>ROUND((L656*0.9*I651+1.3*L656*0.9*M651+R656*F651),4)</f>
        <v>52.551000000000002</v>
      </c>
      <c r="X656" s="134">
        <f>ROUND((L656*I651+1.3*L656*M651+R656*F651),4)</f>
        <v>56.79</v>
      </c>
      <c r="Y656" s="394">
        <f>ROUND((O651*S656*E651*N651/1000000),4)</f>
        <v>0.10009999999999999</v>
      </c>
      <c r="Z656" s="394">
        <f>ROUND((P651*T656*E651*N651/1000000),4)</f>
        <v>0</v>
      </c>
      <c r="AA656" s="394">
        <f>ROUND((Q651*U656*E651*N651/1000000),4)</f>
        <v>0</v>
      </c>
      <c r="AB656" s="931" t="s">
        <v>65</v>
      </c>
      <c r="AC656" s="932" t="s">
        <v>66</v>
      </c>
      <c r="AD656" s="933">
        <f>ROUND((((W656*D651)/1800)),4)</f>
        <v>2.92E-2</v>
      </c>
      <c r="AE656" s="933">
        <f>ROUND(((Y656+Z656+AA656)),4)</f>
        <v>0.10009999999999999</v>
      </c>
      <c r="AF656" s="61">
        <f>SUM(AD651:AD656)</f>
        <v>8.2100000000000006E-2</v>
      </c>
      <c r="AG656" s="61">
        <f>SUM(AE651:AE656)</f>
        <v>0.29530000000000001</v>
      </c>
      <c r="AH656" s="61"/>
      <c r="AI656" s="61"/>
    </row>
    <row r="657" spans="1:35" s="417" customFormat="1" ht="15" customHeight="1" x14ac:dyDescent="0.2">
      <c r="A657" s="1284" t="s">
        <v>712</v>
      </c>
      <c r="B657" s="1437"/>
      <c r="C657" s="1438"/>
      <c r="D657" s="1438"/>
      <c r="E657" s="1438"/>
      <c r="F657" s="1438"/>
      <c r="G657" s="1438"/>
      <c r="H657" s="1438"/>
      <c r="I657" s="1438"/>
      <c r="J657" s="1438"/>
      <c r="K657" s="1438"/>
      <c r="L657" s="1438"/>
      <c r="M657" s="1438"/>
      <c r="N657" s="1438"/>
      <c r="O657" s="1438"/>
      <c r="P657" s="1438"/>
      <c r="Q657" s="1438"/>
      <c r="R657" s="1438"/>
      <c r="S657" s="1438"/>
      <c r="T657" s="1438"/>
      <c r="U657" s="1438"/>
      <c r="V657" s="1438"/>
      <c r="W657" s="1438"/>
      <c r="X657" s="1438"/>
      <c r="Y657" s="1438"/>
      <c r="Z657" s="1438"/>
      <c r="AA657" s="1438"/>
      <c r="AB657" s="1438"/>
      <c r="AC657" s="1438"/>
      <c r="AD657" s="1438"/>
      <c r="AE657" s="1439"/>
      <c r="AF657" s="61"/>
      <c r="AG657" s="61"/>
      <c r="AH657" s="61"/>
      <c r="AI657" s="61"/>
    </row>
    <row r="658" spans="1:35" s="417" customFormat="1" ht="15" customHeight="1" x14ac:dyDescent="0.2">
      <c r="A658" s="551" t="s">
        <v>759</v>
      </c>
      <c r="B658" s="398" t="s">
        <v>343</v>
      </c>
      <c r="C658" s="212">
        <v>4</v>
      </c>
      <c r="D658" s="170">
        <v>1</v>
      </c>
      <c r="E658" s="170">
        <v>1</v>
      </c>
      <c r="F658" s="170">
        <v>6</v>
      </c>
      <c r="G658" s="170">
        <v>60</v>
      </c>
      <c r="H658" s="170">
        <f>(8-1-0.75*2)*60*E658-J658-8*0.12*60</f>
        <v>57.900000000000006</v>
      </c>
      <c r="I658" s="170">
        <v>14</v>
      </c>
      <c r="J658" s="170">
        <f>(8-1-0.75*2)*0.65*60*E658</f>
        <v>214.5</v>
      </c>
      <c r="K658" s="170">
        <v>2.4700000000000002</v>
      </c>
      <c r="L658" s="170">
        <v>2.4700000000000002</v>
      </c>
      <c r="M658" s="170">
        <v>10</v>
      </c>
      <c r="N658" s="170">
        <f>D658/E658</f>
        <v>1</v>
      </c>
      <c r="O658" s="170">
        <v>180</v>
      </c>
      <c r="P658" s="170">
        <v>90</v>
      </c>
      <c r="Q658" s="211">
        <v>95</v>
      </c>
      <c r="R658" s="170">
        <v>0.48</v>
      </c>
      <c r="S658" s="207">
        <f>ROUND((K658*H658+1.3*K658*J658+R658*G658),4)</f>
        <v>860.57249999999999</v>
      </c>
      <c r="T658" s="207">
        <f>ROUND((L658*H658+1.3*L658*J658+R658*G658),4)</f>
        <v>860.57249999999999</v>
      </c>
      <c r="U658" s="207">
        <f>ROUND((L658*H658+1.3*L658*J658+R658*G658),4)</f>
        <v>860.57249999999999</v>
      </c>
      <c r="V658" s="207">
        <f>ROUND((K658*I658+1.3*K658*M658+R658*F658),4)</f>
        <v>69.569999999999993</v>
      </c>
      <c r="W658" s="207">
        <f>ROUND((L658*I658+1.3*L658*M658+R658*F658),4)</f>
        <v>69.569999999999993</v>
      </c>
      <c r="X658" s="207">
        <f>ROUND((L658*I658+1.3*L658*M658+R658*F658),4)</f>
        <v>69.569999999999993</v>
      </c>
      <c r="Y658" s="385">
        <f>ROUND((O658*S658*E658*N658/1000000),4)</f>
        <v>0.15490000000000001</v>
      </c>
      <c r="Z658" s="385">
        <f>ROUND((P658*T658*E658*N658/1000000),4)</f>
        <v>7.7499999999999999E-2</v>
      </c>
      <c r="AA658" s="385">
        <f>ROUND((Q658*U658*E658*N658/1000000),4)</f>
        <v>8.1799999999999998E-2</v>
      </c>
      <c r="AB658" s="931" t="s">
        <v>48</v>
      </c>
      <c r="AC658" s="932" t="s">
        <v>49</v>
      </c>
      <c r="AD658" s="933">
        <f>ROUND((((W658*D658)/1800)*0.8),4)</f>
        <v>3.09E-2</v>
      </c>
      <c r="AE658" s="933">
        <f>ROUND(((Y658+Z658+AA658)*0.8),4)</f>
        <v>0.25140000000000001</v>
      </c>
      <c r="AF658" s="61"/>
      <c r="AG658" s="61"/>
      <c r="AH658" s="61"/>
      <c r="AI658" s="61"/>
    </row>
    <row r="659" spans="1:35" s="417" customFormat="1" ht="15" customHeight="1" x14ac:dyDescent="0.2">
      <c r="A659" s="552" t="s">
        <v>166</v>
      </c>
      <c r="B659" s="399" t="s">
        <v>359</v>
      </c>
      <c r="C659" s="387"/>
      <c r="D659" s="209"/>
      <c r="E659" s="209"/>
      <c r="F659" s="209"/>
      <c r="G659" s="209"/>
      <c r="H659" s="209"/>
      <c r="I659" s="209"/>
      <c r="J659" s="209"/>
      <c r="K659" s="209"/>
      <c r="L659" s="209"/>
      <c r="M659" s="209"/>
      <c r="N659" s="209"/>
      <c r="O659" s="209"/>
      <c r="P659" s="209"/>
      <c r="Q659" s="209"/>
      <c r="R659" s="388"/>
      <c r="S659" s="215"/>
      <c r="T659" s="215"/>
      <c r="U659" s="215"/>
      <c r="V659" s="215"/>
      <c r="W659" s="215"/>
      <c r="X659" s="215"/>
      <c r="Y659" s="215"/>
      <c r="Z659" s="215"/>
      <c r="AA659" s="215"/>
      <c r="AB659" s="931" t="s">
        <v>51</v>
      </c>
      <c r="AC659" s="932" t="s">
        <v>52</v>
      </c>
      <c r="AD659" s="933">
        <f>ROUND((((W658*D658)/1800)*0.13),4)</f>
        <v>5.0000000000000001E-3</v>
      </c>
      <c r="AE659" s="933">
        <f>ROUND(((Y658+Z658+AA658)*0.13),4)</f>
        <v>4.0800000000000003E-2</v>
      </c>
      <c r="AF659" s="61"/>
      <c r="AG659" s="61"/>
      <c r="AH659" s="61"/>
      <c r="AI659" s="61"/>
    </row>
    <row r="660" spans="1:35" s="417" customFormat="1" ht="15" customHeight="1" x14ac:dyDescent="0.2">
      <c r="A660" s="558"/>
      <c r="B660" s="387" t="s">
        <v>360</v>
      </c>
      <c r="C660" s="389"/>
      <c r="D660" s="209"/>
      <c r="E660" s="209"/>
      <c r="F660" s="209"/>
      <c r="G660" s="209"/>
      <c r="H660" s="209"/>
      <c r="I660" s="209"/>
      <c r="J660" s="209"/>
      <c r="K660" s="209">
        <v>0.19</v>
      </c>
      <c r="L660" s="209">
        <v>0.23</v>
      </c>
      <c r="M660" s="209"/>
      <c r="N660" s="209"/>
      <c r="O660" s="209"/>
      <c r="P660" s="209"/>
      <c r="Q660" s="209"/>
      <c r="R660" s="133">
        <v>9.7000000000000003E-2</v>
      </c>
      <c r="S660" s="207">
        <f>ROUND((K660*H658+1.3*K660*J658+R660*G658),4)</f>
        <v>69.802499999999995</v>
      </c>
      <c r="T660" s="207">
        <f>ROUND((L660*0.9*H658+1.3*L660*0.9*J658+R660*G658),4)</f>
        <v>75.527299999999997</v>
      </c>
      <c r="U660" s="207">
        <f>ROUND((L660*H658+1.3*L660*J658+R660*G658),4)</f>
        <v>83.272499999999994</v>
      </c>
      <c r="V660" s="207">
        <f>ROUND((K660*I658+1.3*K660*M658+R660*F658),4)</f>
        <v>5.7119999999999997</v>
      </c>
      <c r="W660" s="207">
        <f>ROUND((L660*0.9*I658+1.3*L660*0.9*M658+R660*F658),4)</f>
        <v>6.1710000000000003</v>
      </c>
      <c r="X660" s="207">
        <f>ROUND((L660*I658+1.3*L660*M658+R660*F658),4)</f>
        <v>6.7919999999999998</v>
      </c>
      <c r="Y660" s="385">
        <f>ROUND((O658*S660*E658*N658/1000000),4)</f>
        <v>1.26E-2</v>
      </c>
      <c r="Z660" s="385">
        <f>ROUND((P658*T660*E658*N658/1000000),4)</f>
        <v>6.7999999999999996E-3</v>
      </c>
      <c r="AA660" s="385">
        <f>ROUND((Q658*U660*E658*N658/1000000),4)</f>
        <v>7.9000000000000008E-3</v>
      </c>
      <c r="AB660" s="931" t="s">
        <v>56</v>
      </c>
      <c r="AC660" s="932" t="s">
        <v>57</v>
      </c>
      <c r="AD660" s="933">
        <f>ROUND((((W660*D658)/1800)),4)</f>
        <v>3.3999999999999998E-3</v>
      </c>
      <c r="AE660" s="933">
        <f>ROUND(((Y660+Z660+AA660)),5)</f>
        <v>2.7300000000000001E-2</v>
      </c>
      <c r="AF660" s="61"/>
      <c r="AG660" s="61"/>
      <c r="AH660" s="61"/>
      <c r="AI660" s="61"/>
    </row>
    <row r="661" spans="1:35" s="417" customFormat="1" ht="15" customHeight="1" x14ac:dyDescent="0.2">
      <c r="A661" s="558"/>
      <c r="B661" s="387"/>
      <c r="C661" s="387"/>
      <c r="D661" s="209"/>
      <c r="E661" s="209"/>
      <c r="F661" s="209"/>
      <c r="G661" s="209"/>
      <c r="H661" s="209"/>
      <c r="I661" s="209"/>
      <c r="J661" s="209"/>
      <c r="K661" s="209">
        <v>0.43</v>
      </c>
      <c r="L661" s="209">
        <v>0.51</v>
      </c>
      <c r="M661" s="209"/>
      <c r="N661" s="209"/>
      <c r="O661" s="209"/>
      <c r="P661" s="209"/>
      <c r="Q661" s="209"/>
      <c r="R661" s="133">
        <v>0.3</v>
      </c>
      <c r="S661" s="207">
        <f>ROUND((K661*H658+1.3*K661*J658+R661*G658),4)</f>
        <v>162.80250000000001</v>
      </c>
      <c r="T661" s="207">
        <f>ROUND((L661*0.9*H658+1.3*L661*0.9*J658+R661*G658),4)</f>
        <v>172.56829999999999</v>
      </c>
      <c r="U661" s="207">
        <f>ROUND((L661*H658+1.3*L661*J658+R661*G658),4)</f>
        <v>189.74250000000001</v>
      </c>
      <c r="V661" s="207">
        <f>ROUND((K661*I658+1.3*K661*M658+R661*F658),4)</f>
        <v>13.41</v>
      </c>
      <c r="W661" s="207">
        <f>ROUND((L661*0.9*I658+1.3*L661*0.9*M658+R661*F658),4)</f>
        <v>14.193</v>
      </c>
      <c r="X661" s="207">
        <f>ROUND((L661*I658+1.3*M658+R661*F658),4)</f>
        <v>21.94</v>
      </c>
      <c r="Y661" s="385">
        <f>ROUND((O658*S661*E658*N658/1000000),4)</f>
        <v>2.93E-2</v>
      </c>
      <c r="Z661" s="385">
        <f>ROUND((P658*T661*E658*N658/1000000),4)</f>
        <v>1.55E-2</v>
      </c>
      <c r="AA661" s="385">
        <f>ROUND((Q658*U661*E658*N658/1000000),4)</f>
        <v>1.7999999999999999E-2</v>
      </c>
      <c r="AB661" s="931" t="s">
        <v>177</v>
      </c>
      <c r="AC661" s="932" t="s">
        <v>178</v>
      </c>
      <c r="AD661" s="933">
        <f>ROUND((((W661*D658)/1800)),4)</f>
        <v>7.9000000000000008E-3</v>
      </c>
      <c r="AE661" s="933">
        <f>ROUND(((Y661+Z661+AA661)),4)</f>
        <v>6.2799999999999995E-2</v>
      </c>
      <c r="AF661" s="61"/>
      <c r="AG661" s="61"/>
      <c r="AH661" s="61"/>
      <c r="AI661" s="61"/>
    </row>
    <row r="662" spans="1:35" s="417" customFormat="1" ht="15" customHeight="1" x14ac:dyDescent="0.2">
      <c r="A662" s="558"/>
      <c r="B662" s="387"/>
      <c r="C662" s="387"/>
      <c r="D662" s="209"/>
      <c r="E662" s="209"/>
      <c r="F662" s="209"/>
      <c r="G662" s="209"/>
      <c r="H662" s="209"/>
      <c r="I662" s="209"/>
      <c r="J662" s="209"/>
      <c r="K662" s="209">
        <v>0.27</v>
      </c>
      <c r="L662" s="209">
        <v>0.41</v>
      </c>
      <c r="M662" s="209"/>
      <c r="N662" s="209"/>
      <c r="O662" s="209"/>
      <c r="P662" s="209"/>
      <c r="Q662" s="209"/>
      <c r="R662" s="133">
        <v>0.06</v>
      </c>
      <c r="S662" s="207">
        <f>ROUND((K662*H658+1.3*K662*J658+R662*G658),4)</f>
        <v>94.522499999999994</v>
      </c>
      <c r="T662" s="207">
        <f>ROUND((L662*0.9*H658+1.3*L662*0.9*J658+R662*G658),4)</f>
        <v>127.8608</v>
      </c>
      <c r="U662" s="207">
        <f>ROUND((L662*H658+1.3*L662*J658+R662*G658),4)</f>
        <v>141.66749999999999</v>
      </c>
      <c r="V662" s="207">
        <f>ROUND((K662*I658+1.3*K662*M658+R662*F658),4)</f>
        <v>7.65</v>
      </c>
      <c r="W662" s="207">
        <f>ROUND((L662*0.9*I658+1.3*L662*0.9*M658+R662*F658),4)</f>
        <v>10.323</v>
      </c>
      <c r="X662" s="207">
        <f>ROUND((L662*I658+1.3*L662*M658+R662*F658),4)</f>
        <v>11.43</v>
      </c>
      <c r="Y662" s="385">
        <f>ROUND((O658*S662*E658*N658/1000000),4)</f>
        <v>1.7000000000000001E-2</v>
      </c>
      <c r="Z662" s="385">
        <f>ROUND((P658*T662*E658*N658/1000000),4)</f>
        <v>1.15E-2</v>
      </c>
      <c r="AA662" s="385">
        <f>ROUND((Q658*U662*E658*N658/1000000),4)</f>
        <v>1.35E-2</v>
      </c>
      <c r="AB662" s="931" t="s">
        <v>61</v>
      </c>
      <c r="AC662" s="932" t="s">
        <v>62</v>
      </c>
      <c r="AD662" s="933">
        <f>ROUND((((W662*D658)/1800)),4)</f>
        <v>5.7000000000000002E-3</v>
      </c>
      <c r="AE662" s="933">
        <f>ROUND(((Y662+Z662+AA662)),4)</f>
        <v>4.2000000000000003E-2</v>
      </c>
      <c r="AF662" s="61"/>
      <c r="AG662" s="61"/>
      <c r="AH662" s="61"/>
      <c r="AI662" s="61"/>
    </row>
    <row r="663" spans="1:35" s="417" customFormat="1" ht="15" customHeight="1" x14ac:dyDescent="0.2">
      <c r="A663" s="563"/>
      <c r="B663" s="214"/>
      <c r="C663" s="214"/>
      <c r="D663" s="210"/>
      <c r="E663" s="210"/>
      <c r="F663" s="210"/>
      <c r="G663" s="210"/>
      <c r="H663" s="210"/>
      <c r="I663" s="210"/>
      <c r="J663" s="210"/>
      <c r="K663" s="210">
        <v>1.29</v>
      </c>
      <c r="L663" s="210">
        <v>1.57</v>
      </c>
      <c r="M663" s="210"/>
      <c r="N663" s="210"/>
      <c r="O663" s="210"/>
      <c r="P663" s="210"/>
      <c r="Q663" s="210"/>
      <c r="R663" s="133">
        <v>2.4</v>
      </c>
      <c r="S663" s="134">
        <f>ROUND((K663*H658+1.3*K663*J658+R663*G658),4)</f>
        <v>578.40750000000003</v>
      </c>
      <c r="T663" s="134">
        <f>ROUND((L663*0.9*H658+1.3*L663*0.9*J658+R663*G658),4)</f>
        <v>619.82780000000002</v>
      </c>
      <c r="U663" s="134">
        <f>ROUND((L663*H658+1.3*L663*J658+R663*G658),4)</f>
        <v>672.69749999999999</v>
      </c>
      <c r="V663" s="134">
        <f>ROUND((K663*I658+1.3*K663*M658+R663*F658),4)</f>
        <v>49.23</v>
      </c>
      <c r="W663" s="134">
        <f>ROUND((L663*0.9*I658+1.3*L663*0.9*M658+R663*F658),4)</f>
        <v>52.551000000000002</v>
      </c>
      <c r="X663" s="134">
        <f>ROUND((L663*I658+1.3*L663*M658+R663*F658),4)</f>
        <v>56.79</v>
      </c>
      <c r="Y663" s="394">
        <f>ROUND((O658*S663*E658*N658/1000000),4)</f>
        <v>0.1041</v>
      </c>
      <c r="Z663" s="394">
        <f>ROUND((P658*T663*E658*N658/1000000),4)</f>
        <v>5.5800000000000002E-2</v>
      </c>
      <c r="AA663" s="394">
        <f>ROUND((Q658*U663*E658*N658/1000000),4)</f>
        <v>6.3899999999999998E-2</v>
      </c>
      <c r="AB663" s="931" t="s">
        <v>65</v>
      </c>
      <c r="AC663" s="932" t="s">
        <v>66</v>
      </c>
      <c r="AD663" s="933">
        <f>ROUND((((W663*D658)/1800)),4)</f>
        <v>2.92E-2</v>
      </c>
      <c r="AE663" s="933">
        <f>ROUND(((Y663+Z663+AA663)),4)</f>
        <v>0.2238</v>
      </c>
      <c r="AF663" s="61">
        <f>SUM(AD658:AD663)</f>
        <v>8.2100000000000006E-2</v>
      </c>
      <c r="AG663" s="61">
        <f>SUM(AE658:AE663)</f>
        <v>0.6480999999999999</v>
      </c>
      <c r="AH663" s="61"/>
      <c r="AI663" s="61"/>
    </row>
    <row r="664" spans="1:35" s="417" customFormat="1" ht="15" customHeight="1" x14ac:dyDescent="0.2">
      <c r="A664" s="1449" t="s">
        <v>713</v>
      </c>
      <c r="B664" s="1450"/>
      <c r="C664" s="1451"/>
      <c r="D664" s="1451"/>
      <c r="E664" s="1451"/>
      <c r="F664" s="1451"/>
      <c r="G664" s="1451"/>
      <c r="H664" s="1451"/>
      <c r="I664" s="1451"/>
      <c r="J664" s="1451"/>
      <c r="K664" s="1451"/>
      <c r="L664" s="1451"/>
      <c r="M664" s="1451"/>
      <c r="N664" s="1451"/>
      <c r="O664" s="1451"/>
      <c r="P664" s="1451"/>
      <c r="Q664" s="1451"/>
      <c r="R664" s="1451"/>
      <c r="S664" s="1451"/>
      <c r="T664" s="1451"/>
      <c r="U664" s="1451"/>
      <c r="V664" s="1451"/>
      <c r="W664" s="1451"/>
      <c r="X664" s="1451"/>
      <c r="Y664" s="1451"/>
      <c r="Z664" s="1451"/>
      <c r="AA664" s="1451"/>
      <c r="AB664" s="1451"/>
      <c r="AC664" s="1451"/>
      <c r="AD664" s="1451"/>
      <c r="AE664" s="1452"/>
      <c r="AF664" s="61"/>
      <c r="AG664" s="61"/>
      <c r="AH664" s="61"/>
      <c r="AI664" s="61"/>
    </row>
    <row r="665" spans="1:35" s="417" customFormat="1" ht="15" customHeight="1" x14ac:dyDescent="0.2">
      <c r="A665" s="551" t="s">
        <v>760</v>
      </c>
      <c r="B665" s="398" t="s">
        <v>343</v>
      </c>
      <c r="C665" s="212">
        <v>4</v>
      </c>
      <c r="D665" s="170">
        <v>1</v>
      </c>
      <c r="E665" s="170">
        <v>1</v>
      </c>
      <c r="F665" s="170">
        <v>6</v>
      </c>
      <c r="G665" s="170">
        <v>60</v>
      </c>
      <c r="H665" s="170">
        <f>(8-1-0.75*2)*60*E665-J665-8*0.12*60</f>
        <v>57.900000000000006</v>
      </c>
      <c r="I665" s="170">
        <v>14</v>
      </c>
      <c r="J665" s="170">
        <f>(8-1-0.75*2)*0.65*60*E665</f>
        <v>214.5</v>
      </c>
      <c r="K665" s="170">
        <v>2.4700000000000002</v>
      </c>
      <c r="L665" s="170">
        <v>2.4700000000000002</v>
      </c>
      <c r="M665" s="170">
        <v>10</v>
      </c>
      <c r="N665" s="170">
        <f>D665/E665</f>
        <v>1</v>
      </c>
      <c r="O665" s="170">
        <v>180</v>
      </c>
      <c r="P665" s="170">
        <v>90</v>
      </c>
      <c r="Q665" s="211">
        <v>95</v>
      </c>
      <c r="R665" s="170">
        <v>0.48</v>
      </c>
      <c r="S665" s="207">
        <f>ROUND((K665*H665+1.3*K665*J665+R665*G665),4)</f>
        <v>860.57249999999999</v>
      </c>
      <c r="T665" s="207">
        <f>ROUND((L665*H665+1.3*L665*J665+R665*G665),4)</f>
        <v>860.57249999999999</v>
      </c>
      <c r="U665" s="207">
        <f>ROUND((L665*H665+1.3*L665*J665+R665*G665),4)</f>
        <v>860.57249999999999</v>
      </c>
      <c r="V665" s="207">
        <f>ROUND((K665*I665+1.3*K665*M665+R665*F665),4)</f>
        <v>69.569999999999993</v>
      </c>
      <c r="W665" s="207">
        <f>ROUND((L665*I665+1.3*L665*M665+R665*F665),4)</f>
        <v>69.569999999999993</v>
      </c>
      <c r="X665" s="207">
        <f>ROUND((L665*I665+1.3*L665*M665+R665*F665),4)</f>
        <v>69.569999999999993</v>
      </c>
      <c r="Y665" s="385">
        <f>ROUND((O665*S665*E665*N665/1000000),4)</f>
        <v>0.15490000000000001</v>
      </c>
      <c r="Z665" s="385">
        <f>ROUND((P665*T665*E665*N665/1000000),4)</f>
        <v>7.7499999999999999E-2</v>
      </c>
      <c r="AA665" s="385">
        <f>ROUND((Q665*U665*E665*N665/1000000),4)</f>
        <v>8.1799999999999998E-2</v>
      </c>
      <c r="AB665" s="931" t="s">
        <v>48</v>
      </c>
      <c r="AC665" s="932" t="s">
        <v>49</v>
      </c>
      <c r="AD665" s="933">
        <f>ROUND((((W665*D665)/1800)*0.8),4)</f>
        <v>3.09E-2</v>
      </c>
      <c r="AE665" s="933">
        <f>ROUND(((Y665+Z665+AA665)*0.8),4)</f>
        <v>0.25140000000000001</v>
      </c>
      <c r="AF665" s="61"/>
      <c r="AG665" s="61"/>
      <c r="AH665" s="61"/>
      <c r="AI665" s="61"/>
    </row>
    <row r="666" spans="1:35" s="417" customFormat="1" ht="15" customHeight="1" x14ac:dyDescent="0.2">
      <c r="A666" s="552" t="s">
        <v>166</v>
      </c>
      <c r="B666" s="399" t="s">
        <v>359</v>
      </c>
      <c r="C666" s="387"/>
      <c r="D666" s="209"/>
      <c r="E666" s="209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388"/>
      <c r="S666" s="215"/>
      <c r="T666" s="215"/>
      <c r="U666" s="215"/>
      <c r="V666" s="215"/>
      <c r="W666" s="215"/>
      <c r="X666" s="215"/>
      <c r="Y666" s="215"/>
      <c r="Z666" s="215"/>
      <c r="AA666" s="215"/>
      <c r="AB666" s="931" t="s">
        <v>51</v>
      </c>
      <c r="AC666" s="932" t="s">
        <v>52</v>
      </c>
      <c r="AD666" s="933">
        <f>ROUND((((W665*D665)/1800)*0.13),4)</f>
        <v>5.0000000000000001E-3</v>
      </c>
      <c r="AE666" s="933">
        <f>ROUND(((Y665+Z665+AA665)*0.13),4)</f>
        <v>4.0800000000000003E-2</v>
      </c>
      <c r="AF666" s="61"/>
      <c r="AG666" s="61"/>
      <c r="AH666" s="61"/>
      <c r="AI666" s="61"/>
    </row>
    <row r="667" spans="1:35" s="417" customFormat="1" ht="15" customHeight="1" x14ac:dyDescent="0.2">
      <c r="A667" s="558"/>
      <c r="B667" s="387" t="s">
        <v>360</v>
      </c>
      <c r="C667" s="389"/>
      <c r="D667" s="209"/>
      <c r="E667" s="209"/>
      <c r="F667" s="209"/>
      <c r="G667" s="209"/>
      <c r="H667" s="209"/>
      <c r="I667" s="209"/>
      <c r="J667" s="209"/>
      <c r="K667" s="209">
        <v>0.19</v>
      </c>
      <c r="L667" s="209">
        <v>0.23</v>
      </c>
      <c r="M667" s="209"/>
      <c r="N667" s="209"/>
      <c r="O667" s="209"/>
      <c r="P667" s="209"/>
      <c r="Q667" s="209"/>
      <c r="R667" s="133">
        <v>9.7000000000000003E-2</v>
      </c>
      <c r="S667" s="207">
        <f>ROUND((K667*H665+1.3*K667*J665+R667*G665),4)</f>
        <v>69.802499999999995</v>
      </c>
      <c r="T667" s="207">
        <f>ROUND((L667*0.9*H665+1.3*L667*0.9*J665+R667*G665),4)</f>
        <v>75.527299999999997</v>
      </c>
      <c r="U667" s="207">
        <f>ROUND((L667*H665+1.3*L667*J665+R667*G665),4)</f>
        <v>83.272499999999994</v>
      </c>
      <c r="V667" s="207">
        <f>ROUND((K667*I665+1.3*K667*M665+R667*F665),4)</f>
        <v>5.7119999999999997</v>
      </c>
      <c r="W667" s="207">
        <f>ROUND((L667*0.9*I665+1.3*L667*0.9*M665+R667*F665),4)</f>
        <v>6.1710000000000003</v>
      </c>
      <c r="X667" s="207">
        <f>ROUND((L667*I665+1.3*L667*M665+R667*F665),4)</f>
        <v>6.7919999999999998</v>
      </c>
      <c r="Y667" s="385">
        <f>ROUND((O665*S667*E665*N665/1000000),4)</f>
        <v>1.26E-2</v>
      </c>
      <c r="Z667" s="385">
        <f>ROUND((P665*T667*E665*N665/1000000),4)</f>
        <v>6.7999999999999996E-3</v>
      </c>
      <c r="AA667" s="385">
        <f>ROUND((Q665*U667*E665*N665/1000000),4)</f>
        <v>7.9000000000000008E-3</v>
      </c>
      <c r="AB667" s="931" t="s">
        <v>56</v>
      </c>
      <c r="AC667" s="932" t="s">
        <v>57</v>
      </c>
      <c r="AD667" s="933">
        <f>ROUND((((W667*D665)/1800)),4)</f>
        <v>3.3999999999999998E-3</v>
      </c>
      <c r="AE667" s="933">
        <f>ROUND(((Y667+Z667+AA667)),5)</f>
        <v>2.7300000000000001E-2</v>
      </c>
      <c r="AF667" s="61"/>
      <c r="AG667" s="61"/>
      <c r="AH667" s="61"/>
      <c r="AI667" s="61"/>
    </row>
    <row r="668" spans="1:35" s="417" customFormat="1" ht="15" customHeight="1" x14ac:dyDescent="0.2">
      <c r="A668" s="558"/>
      <c r="B668" s="387"/>
      <c r="C668" s="387"/>
      <c r="D668" s="209"/>
      <c r="E668" s="209"/>
      <c r="F668" s="209"/>
      <c r="G668" s="209"/>
      <c r="H668" s="209"/>
      <c r="I668" s="209"/>
      <c r="J668" s="209"/>
      <c r="K668" s="209">
        <v>0.43</v>
      </c>
      <c r="L668" s="209">
        <v>0.51</v>
      </c>
      <c r="M668" s="209"/>
      <c r="N668" s="209"/>
      <c r="O668" s="209"/>
      <c r="P668" s="209"/>
      <c r="Q668" s="209"/>
      <c r="R668" s="133">
        <v>0.3</v>
      </c>
      <c r="S668" s="207">
        <f>ROUND((K668*H665+1.3*K668*J665+R668*G665),4)</f>
        <v>162.80250000000001</v>
      </c>
      <c r="T668" s="207">
        <f>ROUND((L668*0.9*H665+1.3*L668*0.9*J665+R668*G665),4)</f>
        <v>172.56829999999999</v>
      </c>
      <c r="U668" s="207">
        <f>ROUND((L668*H665+1.3*L668*J665+R668*G665),4)</f>
        <v>189.74250000000001</v>
      </c>
      <c r="V668" s="207">
        <f>ROUND((K668*I665+1.3*K668*M665+R668*F665),4)</f>
        <v>13.41</v>
      </c>
      <c r="W668" s="207">
        <f>ROUND((L668*0.9*I665+1.3*L668*0.9*M665+R668*F665),4)</f>
        <v>14.193</v>
      </c>
      <c r="X668" s="207">
        <f>ROUND((L668*I665+1.3*M665+R668*F665),4)</f>
        <v>21.94</v>
      </c>
      <c r="Y668" s="385">
        <f>ROUND((O665*S668*E665*N665/1000000),4)</f>
        <v>2.93E-2</v>
      </c>
      <c r="Z668" s="385">
        <f>ROUND((P665*T668*E665*N665/1000000),4)</f>
        <v>1.55E-2</v>
      </c>
      <c r="AA668" s="385">
        <f>ROUND((Q665*U668*E665*N665/1000000),4)</f>
        <v>1.7999999999999999E-2</v>
      </c>
      <c r="AB668" s="931" t="s">
        <v>177</v>
      </c>
      <c r="AC668" s="932" t="s">
        <v>178</v>
      </c>
      <c r="AD668" s="933">
        <f>ROUND((((W668*D665)/1800)),4)</f>
        <v>7.9000000000000008E-3</v>
      </c>
      <c r="AE668" s="933">
        <f>ROUND(((Y668+Z668+AA668)),4)</f>
        <v>6.2799999999999995E-2</v>
      </c>
      <c r="AF668" s="61"/>
      <c r="AG668" s="61"/>
      <c r="AH668" s="61"/>
      <c r="AI668" s="61"/>
    </row>
    <row r="669" spans="1:35" s="417" customFormat="1" ht="15" customHeight="1" x14ac:dyDescent="0.2">
      <c r="A669" s="558"/>
      <c r="B669" s="387"/>
      <c r="C669" s="387"/>
      <c r="D669" s="209"/>
      <c r="E669" s="209"/>
      <c r="F669" s="209"/>
      <c r="G669" s="209"/>
      <c r="H669" s="209"/>
      <c r="I669" s="209"/>
      <c r="J669" s="209"/>
      <c r="K669" s="209">
        <v>0.27</v>
      </c>
      <c r="L669" s="209">
        <v>0.41</v>
      </c>
      <c r="M669" s="209"/>
      <c r="N669" s="209"/>
      <c r="O669" s="209"/>
      <c r="P669" s="209"/>
      <c r="Q669" s="209"/>
      <c r="R669" s="133">
        <v>0.06</v>
      </c>
      <c r="S669" s="207">
        <f>ROUND((K669*H665+1.3*K669*J665+R669*G665),4)</f>
        <v>94.522499999999994</v>
      </c>
      <c r="T669" s="207">
        <f>ROUND((L669*0.9*H665+1.3*L669*0.9*J665+R669*G665),4)</f>
        <v>127.8608</v>
      </c>
      <c r="U669" s="207">
        <f>ROUND((L669*H665+1.3*L669*J665+R669*G665),4)</f>
        <v>141.66749999999999</v>
      </c>
      <c r="V669" s="207">
        <f>ROUND((K669*I665+1.3*K669*M665+R669*F665),4)</f>
        <v>7.65</v>
      </c>
      <c r="W669" s="207">
        <f>ROUND((L669*0.9*I665+1.3*L669*0.9*M665+R669*F665),4)</f>
        <v>10.323</v>
      </c>
      <c r="X669" s="207">
        <f>ROUND((L669*I665+1.3*L669*M665+R669*F665),4)</f>
        <v>11.43</v>
      </c>
      <c r="Y669" s="385">
        <f>ROUND((O665*S669*E665*N665/1000000),4)</f>
        <v>1.7000000000000001E-2</v>
      </c>
      <c r="Z669" s="385">
        <f>ROUND((P665*T669*E665*N665/1000000),4)</f>
        <v>1.15E-2</v>
      </c>
      <c r="AA669" s="385">
        <f>ROUND((Q665*U669*E665*N665/1000000),4)</f>
        <v>1.35E-2</v>
      </c>
      <c r="AB669" s="931" t="s">
        <v>61</v>
      </c>
      <c r="AC669" s="932" t="s">
        <v>62</v>
      </c>
      <c r="AD669" s="933">
        <f>ROUND((((W669*D665)/1800)),4)</f>
        <v>5.7000000000000002E-3</v>
      </c>
      <c r="AE669" s="933">
        <f>ROUND(((Y669+Z669+AA669)),4)</f>
        <v>4.2000000000000003E-2</v>
      </c>
      <c r="AF669" s="61"/>
      <c r="AG669" s="61"/>
      <c r="AH669" s="61"/>
      <c r="AI669" s="61"/>
    </row>
    <row r="670" spans="1:35" s="417" customFormat="1" ht="15" customHeight="1" x14ac:dyDescent="0.2">
      <c r="A670" s="563"/>
      <c r="B670" s="214"/>
      <c r="C670" s="214"/>
      <c r="D670" s="210"/>
      <c r="E670" s="210"/>
      <c r="F670" s="210"/>
      <c r="G670" s="210"/>
      <c r="H670" s="210"/>
      <c r="I670" s="210"/>
      <c r="J670" s="210"/>
      <c r="K670" s="210">
        <v>1.29</v>
      </c>
      <c r="L670" s="210">
        <v>1.57</v>
      </c>
      <c r="M670" s="210"/>
      <c r="N670" s="210"/>
      <c r="O670" s="210"/>
      <c r="P670" s="210"/>
      <c r="Q670" s="210"/>
      <c r="R670" s="133">
        <v>2.4</v>
      </c>
      <c r="S670" s="134">
        <f>ROUND((K670*H665+1.3*K670*J665+R670*G665),4)</f>
        <v>578.40750000000003</v>
      </c>
      <c r="T670" s="134">
        <f>ROUND((L670*0.9*H665+1.3*L670*0.9*J665+R670*G665),4)</f>
        <v>619.82780000000002</v>
      </c>
      <c r="U670" s="134">
        <f>ROUND((L670*H665+1.3*L670*J665+R670*G665),4)</f>
        <v>672.69749999999999</v>
      </c>
      <c r="V670" s="134">
        <f>ROUND((K670*I665+1.3*K670*M665+R670*F665),4)</f>
        <v>49.23</v>
      </c>
      <c r="W670" s="134">
        <f>ROUND((L670*0.9*I665+1.3*L670*0.9*M665+R670*F665),4)</f>
        <v>52.551000000000002</v>
      </c>
      <c r="X670" s="134">
        <f>ROUND((L670*I665+1.3*L670*M665+R670*F665),4)</f>
        <v>56.79</v>
      </c>
      <c r="Y670" s="394">
        <f>ROUND((O665*S670*E665*N665/1000000),4)</f>
        <v>0.1041</v>
      </c>
      <c r="Z670" s="394">
        <f>ROUND((P665*T670*E665*N665/1000000),4)</f>
        <v>5.5800000000000002E-2</v>
      </c>
      <c r="AA670" s="394">
        <f>ROUND((Q665*U670*E665*N665/1000000),4)</f>
        <v>6.3899999999999998E-2</v>
      </c>
      <c r="AB670" s="931" t="s">
        <v>65</v>
      </c>
      <c r="AC670" s="932" t="s">
        <v>66</v>
      </c>
      <c r="AD670" s="933">
        <f>ROUND((((W670*D665)/1800)),4)</f>
        <v>2.92E-2</v>
      </c>
      <c r="AE670" s="933">
        <f>ROUND(((Y670+Z670+AA670)),4)</f>
        <v>0.2238</v>
      </c>
      <c r="AF670" s="61">
        <f>SUM(AD665:AD670)</f>
        <v>8.2100000000000006E-2</v>
      </c>
      <c r="AG670" s="61">
        <f>SUM(AE665:AE670)</f>
        <v>0.6480999999999999</v>
      </c>
      <c r="AH670" s="61"/>
      <c r="AI670" s="61"/>
    </row>
    <row r="671" spans="1:35" s="417" customFormat="1" ht="15" customHeight="1" x14ac:dyDescent="0.2">
      <c r="A671" s="1449" t="s">
        <v>714</v>
      </c>
      <c r="B671" s="1450"/>
      <c r="C671" s="1451"/>
      <c r="D671" s="1451"/>
      <c r="E671" s="1451"/>
      <c r="F671" s="1451"/>
      <c r="G671" s="1451"/>
      <c r="H671" s="1451"/>
      <c r="I671" s="1451"/>
      <c r="J671" s="1451"/>
      <c r="K671" s="1451"/>
      <c r="L671" s="1451"/>
      <c r="M671" s="1451"/>
      <c r="N671" s="1451"/>
      <c r="O671" s="1451"/>
      <c r="P671" s="1451"/>
      <c r="Q671" s="1451"/>
      <c r="R671" s="1451"/>
      <c r="S671" s="1451"/>
      <c r="T671" s="1451"/>
      <c r="U671" s="1451"/>
      <c r="V671" s="1451"/>
      <c r="W671" s="1451"/>
      <c r="X671" s="1451"/>
      <c r="Y671" s="1451"/>
      <c r="Z671" s="1451"/>
      <c r="AA671" s="1451"/>
      <c r="AB671" s="1451"/>
      <c r="AC671" s="1451"/>
      <c r="AD671" s="1451"/>
      <c r="AE671" s="1452"/>
      <c r="AF671" s="61"/>
      <c r="AG671" s="61"/>
      <c r="AH671" s="61"/>
      <c r="AI671" s="61"/>
    </row>
    <row r="672" spans="1:35" s="417" customFormat="1" ht="15" customHeight="1" x14ac:dyDescent="0.2">
      <c r="A672" s="551" t="s">
        <v>1019</v>
      </c>
      <c r="B672" s="398" t="s">
        <v>343</v>
      </c>
      <c r="C672" s="212">
        <v>4</v>
      </c>
      <c r="D672" s="170">
        <v>1</v>
      </c>
      <c r="E672" s="170">
        <v>1</v>
      </c>
      <c r="F672" s="170">
        <v>6</v>
      </c>
      <c r="G672" s="170">
        <v>60</v>
      </c>
      <c r="H672" s="170">
        <f>(8-1-0.75*2)*60*E672-J672-8*0.12*60</f>
        <v>57.900000000000006</v>
      </c>
      <c r="I672" s="170">
        <v>14</v>
      </c>
      <c r="J672" s="170">
        <f>(8-1-0.75*2)*0.65*60*E672</f>
        <v>214.5</v>
      </c>
      <c r="K672" s="170">
        <v>2.4700000000000002</v>
      </c>
      <c r="L672" s="170">
        <v>2.4700000000000002</v>
      </c>
      <c r="M672" s="170">
        <v>10</v>
      </c>
      <c r="N672" s="170">
        <f>D672/E672</f>
        <v>1</v>
      </c>
      <c r="O672" s="170">
        <v>173</v>
      </c>
      <c r="P672" s="170">
        <v>0</v>
      </c>
      <c r="Q672" s="211">
        <v>0</v>
      </c>
      <c r="R672" s="170">
        <v>0.48</v>
      </c>
      <c r="S672" s="207">
        <f>ROUND((K672*H672+1.3*K672*J672+R672*G672),4)</f>
        <v>860.57249999999999</v>
      </c>
      <c r="T672" s="207">
        <f>ROUND((L672*H672+1.3*L672*J672+R672*G672),4)</f>
        <v>860.57249999999999</v>
      </c>
      <c r="U672" s="207">
        <f>ROUND((L672*H672+1.3*L672*J672+R672*G672),4)</f>
        <v>860.57249999999999</v>
      </c>
      <c r="V672" s="207">
        <f>ROUND((K672*I672+1.3*K672*M672+R672*F672),4)</f>
        <v>69.569999999999993</v>
      </c>
      <c r="W672" s="207">
        <f>ROUND((L672*I672+1.3*L672*M672+R672*F672),4)</f>
        <v>69.569999999999993</v>
      </c>
      <c r="X672" s="207">
        <f>ROUND((L672*I672+1.3*L672*M672+R672*F672),4)</f>
        <v>69.569999999999993</v>
      </c>
      <c r="Y672" s="385">
        <f>ROUND((O672*S672*E672*N672/1000000),4)</f>
        <v>0.1489</v>
      </c>
      <c r="Z672" s="385">
        <f>ROUND((P672*T672*E672*N672/1000000),4)</f>
        <v>0</v>
      </c>
      <c r="AA672" s="385">
        <f>ROUND((Q672*U672*E672*N672/1000000),4)</f>
        <v>0</v>
      </c>
      <c r="AB672" s="931" t="s">
        <v>48</v>
      </c>
      <c r="AC672" s="932" t="s">
        <v>49</v>
      </c>
      <c r="AD672" s="933">
        <f>ROUND((((W672*D672)/1800)*0.8),4)</f>
        <v>3.09E-2</v>
      </c>
      <c r="AE672" s="933">
        <f>ROUND(((Y672+Z672+AA672)*0.8),4)</f>
        <v>0.1191</v>
      </c>
      <c r="AF672" s="61"/>
      <c r="AG672" s="61"/>
      <c r="AH672" s="61"/>
      <c r="AI672" s="61"/>
    </row>
    <row r="673" spans="1:35" s="417" customFormat="1" ht="15" customHeight="1" x14ac:dyDescent="0.2">
      <c r="A673" s="552" t="s">
        <v>166</v>
      </c>
      <c r="B673" s="399" t="s">
        <v>359</v>
      </c>
      <c r="C673" s="387"/>
      <c r="D673" s="209"/>
      <c r="E673" s="209"/>
      <c r="F673" s="209"/>
      <c r="G673" s="209"/>
      <c r="H673" s="209"/>
      <c r="I673" s="209"/>
      <c r="J673" s="209"/>
      <c r="K673" s="209"/>
      <c r="L673" s="209"/>
      <c r="M673" s="209"/>
      <c r="N673" s="209"/>
      <c r="O673" s="209"/>
      <c r="P673" s="209"/>
      <c r="Q673" s="209"/>
      <c r="R673" s="388"/>
      <c r="S673" s="215"/>
      <c r="T673" s="215"/>
      <c r="U673" s="215"/>
      <c r="V673" s="215"/>
      <c r="W673" s="215"/>
      <c r="X673" s="215"/>
      <c r="Y673" s="215"/>
      <c r="Z673" s="215"/>
      <c r="AA673" s="215"/>
      <c r="AB673" s="931" t="s">
        <v>51</v>
      </c>
      <c r="AC673" s="932" t="s">
        <v>52</v>
      </c>
      <c r="AD673" s="933">
        <f>ROUND((((W672*D672)/1800)*0.13),4)</f>
        <v>5.0000000000000001E-3</v>
      </c>
      <c r="AE673" s="933">
        <f>ROUND(((Y672+Z672+AA672)*0.13),4)</f>
        <v>1.9400000000000001E-2</v>
      </c>
      <c r="AF673" s="61"/>
      <c r="AG673" s="61"/>
      <c r="AH673" s="61"/>
      <c r="AI673" s="61"/>
    </row>
    <row r="674" spans="1:35" s="417" customFormat="1" ht="15" customHeight="1" x14ac:dyDescent="0.2">
      <c r="A674" s="558"/>
      <c r="B674" s="387" t="s">
        <v>360</v>
      </c>
      <c r="C674" s="389"/>
      <c r="D674" s="209"/>
      <c r="E674" s="209"/>
      <c r="F674" s="209"/>
      <c r="G674" s="209"/>
      <c r="H674" s="209"/>
      <c r="I674" s="209"/>
      <c r="J674" s="209"/>
      <c r="K674" s="209">
        <v>0.19</v>
      </c>
      <c r="L674" s="209">
        <v>0.23</v>
      </c>
      <c r="M674" s="209"/>
      <c r="N674" s="209"/>
      <c r="O674" s="209"/>
      <c r="P674" s="209"/>
      <c r="Q674" s="209"/>
      <c r="R674" s="133">
        <v>9.7000000000000003E-2</v>
      </c>
      <c r="S674" s="207">
        <f>ROUND((K674*H672+1.3*K674*J672+R674*G672),4)</f>
        <v>69.802499999999995</v>
      </c>
      <c r="T674" s="207">
        <f>ROUND((L674*0.9*H672+1.3*L674*0.9*J672+R674*G672),4)</f>
        <v>75.527299999999997</v>
      </c>
      <c r="U674" s="207">
        <f>ROUND((L674*H672+1.3*L674*J672+R674*G672),4)</f>
        <v>83.272499999999994</v>
      </c>
      <c r="V674" s="207">
        <f>ROUND((K674*I672+1.3*K674*M672+R674*F672),4)</f>
        <v>5.7119999999999997</v>
      </c>
      <c r="W674" s="207">
        <f>ROUND((L674*0.9*I672+1.3*L674*0.9*M672+R674*F672),4)</f>
        <v>6.1710000000000003</v>
      </c>
      <c r="X674" s="207">
        <f>ROUND((L674*I672+1.3*L674*M672+R674*F672),4)</f>
        <v>6.7919999999999998</v>
      </c>
      <c r="Y674" s="385">
        <f>ROUND((O672*S674*E672*N672/1000000),4)</f>
        <v>1.21E-2</v>
      </c>
      <c r="Z674" s="385">
        <f>ROUND((P672*T674*E672*N672/1000000),4)</f>
        <v>0</v>
      </c>
      <c r="AA674" s="385">
        <f>ROUND((Q672*U674*E672*N672/1000000),4)</f>
        <v>0</v>
      </c>
      <c r="AB674" s="931" t="s">
        <v>56</v>
      </c>
      <c r="AC674" s="932" t="s">
        <v>57</v>
      </c>
      <c r="AD674" s="933">
        <f>ROUND((((W674*D672)/1800)),4)</f>
        <v>3.3999999999999998E-3</v>
      </c>
      <c r="AE674" s="933">
        <f>ROUND(((Y674+Z674+AA674)),5)</f>
        <v>1.21E-2</v>
      </c>
      <c r="AF674" s="61"/>
      <c r="AG674" s="61"/>
      <c r="AH674" s="61"/>
      <c r="AI674" s="61"/>
    </row>
    <row r="675" spans="1:35" s="417" customFormat="1" ht="15" customHeight="1" x14ac:dyDescent="0.2">
      <c r="A675" s="558"/>
      <c r="B675" s="387"/>
      <c r="C675" s="387"/>
      <c r="D675" s="209"/>
      <c r="E675" s="209"/>
      <c r="F675" s="209"/>
      <c r="G675" s="209"/>
      <c r="H675" s="209"/>
      <c r="I675" s="209"/>
      <c r="J675" s="209"/>
      <c r="K675" s="209">
        <v>0.43</v>
      </c>
      <c r="L675" s="209">
        <v>0.51</v>
      </c>
      <c r="M675" s="209"/>
      <c r="N675" s="209"/>
      <c r="O675" s="209"/>
      <c r="P675" s="209"/>
      <c r="Q675" s="209"/>
      <c r="R675" s="133">
        <v>0.3</v>
      </c>
      <c r="S675" s="207">
        <f>ROUND((K675*H672+1.3*K675*J672+R675*G672),4)</f>
        <v>162.80250000000001</v>
      </c>
      <c r="T675" s="207">
        <f>ROUND((L675*0.9*H672+1.3*L675*0.9*J672+R675*G672),4)</f>
        <v>172.56829999999999</v>
      </c>
      <c r="U675" s="207">
        <f>ROUND((L675*H672+1.3*L675*J672+R675*G672),4)</f>
        <v>189.74250000000001</v>
      </c>
      <c r="V675" s="207">
        <f>ROUND((K675*I672+1.3*K675*M672+R675*F672),4)</f>
        <v>13.41</v>
      </c>
      <c r="W675" s="207">
        <f>ROUND((L675*0.9*I672+1.3*L675*0.9*M672+R675*F672),4)</f>
        <v>14.193</v>
      </c>
      <c r="X675" s="207">
        <f>ROUND((L675*I672+1.3*M672+R675*F672),4)</f>
        <v>21.94</v>
      </c>
      <c r="Y675" s="385">
        <f>ROUND((O672*S675*E672*N672/1000000),4)</f>
        <v>2.8199999999999999E-2</v>
      </c>
      <c r="Z675" s="385">
        <f>ROUND((P672*T675*E672*N672/1000000),4)</f>
        <v>0</v>
      </c>
      <c r="AA675" s="385">
        <f>ROUND((Q672*U675*E672*N672/1000000),4)</f>
        <v>0</v>
      </c>
      <c r="AB675" s="931" t="s">
        <v>177</v>
      </c>
      <c r="AC675" s="932" t="s">
        <v>178</v>
      </c>
      <c r="AD675" s="933">
        <f>ROUND((((W675*D672)/1800)),4)</f>
        <v>7.9000000000000008E-3</v>
      </c>
      <c r="AE675" s="933">
        <f>ROUND(((Y675+Z675+AA675)),4)</f>
        <v>2.8199999999999999E-2</v>
      </c>
      <c r="AF675" s="61"/>
      <c r="AG675" s="61"/>
      <c r="AH675" s="61"/>
      <c r="AI675" s="61"/>
    </row>
    <row r="676" spans="1:35" s="417" customFormat="1" ht="15" customHeight="1" x14ac:dyDescent="0.2">
      <c r="A676" s="558"/>
      <c r="B676" s="387"/>
      <c r="C676" s="387"/>
      <c r="D676" s="209"/>
      <c r="E676" s="209"/>
      <c r="F676" s="209"/>
      <c r="G676" s="209"/>
      <c r="H676" s="209"/>
      <c r="I676" s="209"/>
      <c r="J676" s="209"/>
      <c r="K676" s="209">
        <v>0.27</v>
      </c>
      <c r="L676" s="209">
        <v>0.41</v>
      </c>
      <c r="M676" s="209"/>
      <c r="N676" s="209"/>
      <c r="O676" s="209"/>
      <c r="P676" s="209"/>
      <c r="Q676" s="209"/>
      <c r="R676" s="133">
        <v>0.06</v>
      </c>
      <c r="S676" s="207">
        <f>ROUND((K676*H672+1.3*K676*J672+R676*G672),4)</f>
        <v>94.522499999999994</v>
      </c>
      <c r="T676" s="207">
        <f>ROUND((L676*0.9*H672+1.3*L676*0.9*J672+R676*G672),4)</f>
        <v>127.8608</v>
      </c>
      <c r="U676" s="207">
        <f>ROUND((L676*H672+1.3*L676*J672+R676*G672),4)</f>
        <v>141.66749999999999</v>
      </c>
      <c r="V676" s="207">
        <f>ROUND((K676*I672+1.3*K676*M672+R676*F672),4)</f>
        <v>7.65</v>
      </c>
      <c r="W676" s="207">
        <f>ROUND((L676*0.9*I672+1.3*L676*0.9*M672+R676*F672),4)</f>
        <v>10.323</v>
      </c>
      <c r="X676" s="207">
        <f>ROUND((L676*I672+1.3*L676*M672+R676*F672),4)</f>
        <v>11.43</v>
      </c>
      <c r="Y676" s="385">
        <f>ROUND((O672*S676*E672*N672/1000000),4)</f>
        <v>1.6400000000000001E-2</v>
      </c>
      <c r="Z676" s="385">
        <f>ROUND((P672*T676*E672*N672/1000000),4)</f>
        <v>0</v>
      </c>
      <c r="AA676" s="385">
        <f>ROUND((Q672*U676*E672*N672/1000000),4)</f>
        <v>0</v>
      </c>
      <c r="AB676" s="931" t="s">
        <v>61</v>
      </c>
      <c r="AC676" s="932" t="s">
        <v>62</v>
      </c>
      <c r="AD676" s="933">
        <f>ROUND((((W676*D672)/1800)),4)</f>
        <v>5.7000000000000002E-3</v>
      </c>
      <c r="AE676" s="933">
        <f>ROUND(((Y676+Z676+AA676)),4)</f>
        <v>1.6400000000000001E-2</v>
      </c>
      <c r="AF676" s="61"/>
      <c r="AG676" s="61"/>
      <c r="AH676" s="61"/>
      <c r="AI676" s="61"/>
    </row>
    <row r="677" spans="1:35" s="417" customFormat="1" ht="15" customHeight="1" x14ac:dyDescent="0.2">
      <c r="A677" s="563"/>
      <c r="B677" s="214"/>
      <c r="C677" s="214"/>
      <c r="D677" s="210"/>
      <c r="E677" s="210"/>
      <c r="F677" s="210"/>
      <c r="G677" s="210"/>
      <c r="H677" s="210"/>
      <c r="I677" s="210"/>
      <c r="J677" s="210"/>
      <c r="K677" s="210">
        <v>1.29</v>
      </c>
      <c r="L677" s="210">
        <v>1.57</v>
      </c>
      <c r="M677" s="210"/>
      <c r="N677" s="210"/>
      <c r="O677" s="210"/>
      <c r="P677" s="210"/>
      <c r="Q677" s="210"/>
      <c r="R677" s="133">
        <v>2.4</v>
      </c>
      <c r="S677" s="134">
        <f>ROUND((K677*H672+1.3*K677*J672+R677*G672),4)</f>
        <v>578.40750000000003</v>
      </c>
      <c r="T677" s="134">
        <f>ROUND((L677*0.9*H672+1.3*L677*0.9*J672+R677*G672),4)</f>
        <v>619.82780000000002</v>
      </c>
      <c r="U677" s="134">
        <f>ROUND((L677*H672+1.3*L677*J672+R677*G672),4)</f>
        <v>672.69749999999999</v>
      </c>
      <c r="V677" s="134">
        <f>ROUND((K677*I672+1.3*K677*M672+R677*F672),4)</f>
        <v>49.23</v>
      </c>
      <c r="W677" s="134">
        <f>ROUND((L677*0.9*I672+1.3*L677*0.9*M672+R677*F672),4)</f>
        <v>52.551000000000002</v>
      </c>
      <c r="X677" s="134">
        <f>ROUND((L677*I672+1.3*L677*M672+R677*F672),4)</f>
        <v>56.79</v>
      </c>
      <c r="Y677" s="394">
        <f>ROUND((O672*S677*E672*N672/1000000),4)</f>
        <v>0.10009999999999999</v>
      </c>
      <c r="Z677" s="394">
        <f>ROUND((P672*T677*E672*N672/1000000),4)</f>
        <v>0</v>
      </c>
      <c r="AA677" s="394">
        <f>ROUND((Q672*U677*E672*N672/1000000),4)</f>
        <v>0</v>
      </c>
      <c r="AB677" s="931" t="s">
        <v>65</v>
      </c>
      <c r="AC677" s="932" t="s">
        <v>66</v>
      </c>
      <c r="AD677" s="933">
        <f>ROUND((((W677*D672)/1800)),4)</f>
        <v>2.92E-2</v>
      </c>
      <c r="AE677" s="933">
        <f>ROUND(((Y677+Z677+AA677)),4)</f>
        <v>0.10009999999999999</v>
      </c>
      <c r="AF677" s="61">
        <f>SUM(AD672:AD677)</f>
        <v>8.2100000000000006E-2</v>
      </c>
      <c r="AG677" s="61">
        <f>SUM(AE672:AE677)</f>
        <v>0.29530000000000001</v>
      </c>
      <c r="AH677" s="61"/>
      <c r="AI677" s="61"/>
    </row>
    <row r="678" spans="1:35" s="417" customFormat="1" ht="15" customHeight="1" x14ac:dyDescent="0.2">
      <c r="A678" s="1284" t="s">
        <v>715</v>
      </c>
      <c r="B678" s="1437"/>
      <c r="C678" s="1438"/>
      <c r="D678" s="1438"/>
      <c r="E678" s="1438"/>
      <c r="F678" s="1438"/>
      <c r="G678" s="1438"/>
      <c r="H678" s="1438"/>
      <c r="I678" s="1438"/>
      <c r="J678" s="1438"/>
      <c r="K678" s="1438"/>
      <c r="L678" s="1438"/>
      <c r="M678" s="1438"/>
      <c r="N678" s="1438"/>
      <c r="O678" s="1438"/>
      <c r="P678" s="1438"/>
      <c r="Q678" s="1438"/>
      <c r="R678" s="1438"/>
      <c r="S678" s="1438"/>
      <c r="T678" s="1438"/>
      <c r="U678" s="1438"/>
      <c r="V678" s="1438"/>
      <c r="W678" s="1438"/>
      <c r="X678" s="1438"/>
      <c r="Y678" s="1438"/>
      <c r="Z678" s="1438"/>
      <c r="AA678" s="1438"/>
      <c r="AB678" s="1438"/>
      <c r="AC678" s="1438"/>
      <c r="AD678" s="1438"/>
      <c r="AE678" s="1439"/>
      <c r="AF678" s="61"/>
      <c r="AG678" s="61"/>
      <c r="AH678" s="61"/>
      <c r="AI678" s="61"/>
    </row>
    <row r="679" spans="1:35" s="417" customFormat="1" ht="15" customHeight="1" x14ac:dyDescent="0.2">
      <c r="A679" s="551" t="s">
        <v>1020</v>
      </c>
      <c r="B679" s="398" t="s">
        <v>343</v>
      </c>
      <c r="C679" s="212">
        <v>4</v>
      </c>
      <c r="D679" s="170">
        <v>1</v>
      </c>
      <c r="E679" s="170">
        <v>1</v>
      </c>
      <c r="F679" s="170">
        <v>6</v>
      </c>
      <c r="G679" s="170">
        <v>60</v>
      </c>
      <c r="H679" s="170">
        <f>(8-1-0.75*2)*60*E679-J679-8*0.12*60</f>
        <v>57.900000000000006</v>
      </c>
      <c r="I679" s="170">
        <v>14</v>
      </c>
      <c r="J679" s="170">
        <f>(8-1-0.75*2)*0.65*60*E679</f>
        <v>214.5</v>
      </c>
      <c r="K679" s="170">
        <v>2.4700000000000002</v>
      </c>
      <c r="L679" s="170">
        <v>2.4700000000000002</v>
      </c>
      <c r="M679" s="170">
        <v>10</v>
      </c>
      <c r="N679" s="170">
        <f>D679/E679</f>
        <v>1</v>
      </c>
      <c r="O679" s="170">
        <v>173</v>
      </c>
      <c r="P679" s="170">
        <v>0</v>
      </c>
      <c r="Q679" s="211">
        <v>0</v>
      </c>
      <c r="R679" s="170">
        <v>0.48</v>
      </c>
      <c r="S679" s="207">
        <f>ROUND((K679*H679+1.3*K679*J679+R679*G679),4)</f>
        <v>860.57249999999999</v>
      </c>
      <c r="T679" s="207">
        <f>ROUND((L679*H679+1.3*L679*J679+R679*G679),4)</f>
        <v>860.57249999999999</v>
      </c>
      <c r="U679" s="207">
        <f>ROUND((L679*H679+1.3*L679*J679+R679*G679),4)</f>
        <v>860.57249999999999</v>
      </c>
      <c r="V679" s="207">
        <f>ROUND((K679*I679+1.3*K679*M679+R679*F679),4)</f>
        <v>69.569999999999993</v>
      </c>
      <c r="W679" s="207">
        <f>ROUND((L679*I679+1.3*L679*M679+R679*F679),4)</f>
        <v>69.569999999999993</v>
      </c>
      <c r="X679" s="207">
        <f>ROUND((L679*I679+1.3*L679*M679+R679*F679),4)</f>
        <v>69.569999999999993</v>
      </c>
      <c r="Y679" s="385">
        <f>ROUND((O679*S679*E679*N679/1000000),4)</f>
        <v>0.1489</v>
      </c>
      <c r="Z679" s="385">
        <f>ROUND((P679*T679*E679*N679/1000000),4)</f>
        <v>0</v>
      </c>
      <c r="AA679" s="385">
        <f>ROUND((Q679*U679*E679*N679/1000000),4)</f>
        <v>0</v>
      </c>
      <c r="AB679" s="931" t="s">
        <v>48</v>
      </c>
      <c r="AC679" s="932" t="s">
        <v>49</v>
      </c>
      <c r="AD679" s="933">
        <f>ROUND((((W679*D679)/1800)*0.8),4)</f>
        <v>3.09E-2</v>
      </c>
      <c r="AE679" s="933">
        <f>ROUND(((Y679+Z679+AA679)*0.8),4)</f>
        <v>0.1191</v>
      </c>
      <c r="AF679" s="61"/>
      <c r="AG679" s="61"/>
      <c r="AH679" s="61"/>
      <c r="AI679" s="61"/>
    </row>
    <row r="680" spans="1:35" s="417" customFormat="1" ht="15" customHeight="1" x14ac:dyDescent="0.2">
      <c r="A680" s="552" t="s">
        <v>166</v>
      </c>
      <c r="B680" s="399" t="s">
        <v>359</v>
      </c>
      <c r="C680" s="387"/>
      <c r="D680" s="209"/>
      <c r="E680" s="209"/>
      <c r="F680" s="209"/>
      <c r="G680" s="209"/>
      <c r="H680" s="209"/>
      <c r="I680" s="209"/>
      <c r="J680" s="209"/>
      <c r="K680" s="209"/>
      <c r="L680" s="209"/>
      <c r="M680" s="209"/>
      <c r="N680" s="209"/>
      <c r="O680" s="209"/>
      <c r="P680" s="209"/>
      <c r="Q680" s="209"/>
      <c r="R680" s="388"/>
      <c r="S680" s="215"/>
      <c r="T680" s="215"/>
      <c r="U680" s="215"/>
      <c r="V680" s="215"/>
      <c r="W680" s="215"/>
      <c r="X680" s="215"/>
      <c r="Y680" s="215"/>
      <c r="Z680" s="215"/>
      <c r="AA680" s="215"/>
      <c r="AB680" s="931" t="s">
        <v>51</v>
      </c>
      <c r="AC680" s="932" t="s">
        <v>52</v>
      </c>
      <c r="AD680" s="933">
        <f>ROUND((((W679*D679)/1800)*0.13),4)</f>
        <v>5.0000000000000001E-3</v>
      </c>
      <c r="AE680" s="933">
        <f>ROUND(((Y679+Z679+AA679)*0.13),4)</f>
        <v>1.9400000000000001E-2</v>
      </c>
      <c r="AF680" s="61"/>
      <c r="AG680" s="61"/>
      <c r="AH680" s="61"/>
      <c r="AI680" s="61"/>
    </row>
    <row r="681" spans="1:35" s="417" customFormat="1" ht="15" customHeight="1" x14ac:dyDescent="0.2">
      <c r="A681" s="558"/>
      <c r="B681" s="387" t="s">
        <v>360</v>
      </c>
      <c r="C681" s="389"/>
      <c r="D681" s="209"/>
      <c r="E681" s="209"/>
      <c r="F681" s="209"/>
      <c r="G681" s="209"/>
      <c r="H681" s="209"/>
      <c r="I681" s="209"/>
      <c r="J681" s="209"/>
      <c r="K681" s="209">
        <v>0.19</v>
      </c>
      <c r="L681" s="209">
        <v>0.23</v>
      </c>
      <c r="M681" s="209"/>
      <c r="N681" s="209"/>
      <c r="O681" s="209"/>
      <c r="P681" s="209"/>
      <c r="Q681" s="209"/>
      <c r="R681" s="133">
        <v>9.7000000000000003E-2</v>
      </c>
      <c r="S681" s="207">
        <f>ROUND((K681*H679+1.3*K681*J679+R681*G679),4)</f>
        <v>69.802499999999995</v>
      </c>
      <c r="T681" s="207">
        <f>ROUND((L681*0.9*H679+1.3*L681*0.9*J679+R681*G679),4)</f>
        <v>75.527299999999997</v>
      </c>
      <c r="U681" s="207">
        <f>ROUND((L681*H679+1.3*L681*J679+R681*G679),4)</f>
        <v>83.272499999999994</v>
      </c>
      <c r="V681" s="207">
        <f>ROUND((K681*I679+1.3*K681*M679+R681*F679),4)</f>
        <v>5.7119999999999997</v>
      </c>
      <c r="W681" s="207">
        <f>ROUND((L681*0.9*I679+1.3*L681*0.9*M679+R681*F679),4)</f>
        <v>6.1710000000000003</v>
      </c>
      <c r="X681" s="207">
        <f>ROUND((L681*I679+1.3*L681*M679+R681*F679),4)</f>
        <v>6.7919999999999998</v>
      </c>
      <c r="Y681" s="385">
        <f>ROUND((O679*S681*E679*N679/1000000),4)</f>
        <v>1.21E-2</v>
      </c>
      <c r="Z681" s="385">
        <f>ROUND((P679*T681*E679*N679/1000000),4)</f>
        <v>0</v>
      </c>
      <c r="AA681" s="385">
        <f>ROUND((Q679*U681*E679*N679/1000000),4)</f>
        <v>0</v>
      </c>
      <c r="AB681" s="931" t="s">
        <v>56</v>
      </c>
      <c r="AC681" s="932" t="s">
        <v>57</v>
      </c>
      <c r="AD681" s="933">
        <f>ROUND((((W681*D679)/1800)),4)</f>
        <v>3.3999999999999998E-3</v>
      </c>
      <c r="AE681" s="933">
        <f>ROUND(((Y681+Z681+AA681)),5)</f>
        <v>1.21E-2</v>
      </c>
      <c r="AF681" s="61"/>
      <c r="AG681" s="61"/>
      <c r="AH681" s="61"/>
      <c r="AI681" s="61"/>
    </row>
    <row r="682" spans="1:35" s="417" customFormat="1" ht="15" customHeight="1" x14ac:dyDescent="0.2">
      <c r="A682" s="558"/>
      <c r="B682" s="387"/>
      <c r="C682" s="387"/>
      <c r="D682" s="209"/>
      <c r="E682" s="209"/>
      <c r="F682" s="209"/>
      <c r="G682" s="209"/>
      <c r="H682" s="209"/>
      <c r="I682" s="209"/>
      <c r="J682" s="209"/>
      <c r="K682" s="209">
        <v>0.43</v>
      </c>
      <c r="L682" s="209">
        <v>0.51</v>
      </c>
      <c r="M682" s="209"/>
      <c r="N682" s="209"/>
      <c r="O682" s="209"/>
      <c r="P682" s="209"/>
      <c r="Q682" s="209"/>
      <c r="R682" s="133">
        <v>0.3</v>
      </c>
      <c r="S682" s="207">
        <f>ROUND((K682*H679+1.3*K682*J679+R682*G679),4)</f>
        <v>162.80250000000001</v>
      </c>
      <c r="T682" s="207">
        <f>ROUND((L682*0.9*H679+1.3*L682*0.9*J679+R682*G679),4)</f>
        <v>172.56829999999999</v>
      </c>
      <c r="U682" s="207">
        <f>ROUND((L682*H679+1.3*L682*J679+R682*G679),4)</f>
        <v>189.74250000000001</v>
      </c>
      <c r="V682" s="207">
        <f>ROUND((K682*I679+1.3*K682*M679+R682*F679),4)</f>
        <v>13.41</v>
      </c>
      <c r="W682" s="207">
        <f>ROUND((L682*0.9*I679+1.3*L682*0.9*M679+R682*F679),4)</f>
        <v>14.193</v>
      </c>
      <c r="X682" s="207">
        <f>ROUND((L682*I679+1.3*M679+R682*F679),4)</f>
        <v>21.94</v>
      </c>
      <c r="Y682" s="385">
        <f>ROUND((O679*S682*E679*N679/1000000),4)</f>
        <v>2.8199999999999999E-2</v>
      </c>
      <c r="Z682" s="385">
        <f>ROUND((P679*T682*E679*N679/1000000),4)</f>
        <v>0</v>
      </c>
      <c r="AA682" s="385">
        <f>ROUND((Q679*U682*E679*N679/1000000),4)</f>
        <v>0</v>
      </c>
      <c r="AB682" s="931" t="s">
        <v>177</v>
      </c>
      <c r="AC682" s="932" t="s">
        <v>178</v>
      </c>
      <c r="AD682" s="933">
        <f>ROUND((((W682*D679)/1800)),4)</f>
        <v>7.9000000000000008E-3</v>
      </c>
      <c r="AE682" s="933">
        <f>ROUND(((Y682+Z682+AA682)),4)</f>
        <v>2.8199999999999999E-2</v>
      </c>
      <c r="AF682" s="61"/>
      <c r="AG682" s="61"/>
      <c r="AH682" s="61"/>
      <c r="AI682" s="61"/>
    </row>
    <row r="683" spans="1:35" s="417" customFormat="1" ht="15" customHeight="1" x14ac:dyDescent="0.2">
      <c r="A683" s="558"/>
      <c r="B683" s="387"/>
      <c r="C683" s="387"/>
      <c r="D683" s="209"/>
      <c r="E683" s="209"/>
      <c r="F683" s="209"/>
      <c r="G683" s="209"/>
      <c r="H683" s="209"/>
      <c r="I683" s="209"/>
      <c r="J683" s="209"/>
      <c r="K683" s="209">
        <v>0.27</v>
      </c>
      <c r="L683" s="209">
        <v>0.41</v>
      </c>
      <c r="M683" s="209"/>
      <c r="N683" s="209"/>
      <c r="O683" s="209"/>
      <c r="P683" s="209"/>
      <c r="Q683" s="209"/>
      <c r="R683" s="133">
        <v>0.06</v>
      </c>
      <c r="S683" s="207">
        <f>ROUND((K683*H679+1.3*K683*J679+R683*G679),4)</f>
        <v>94.522499999999994</v>
      </c>
      <c r="T683" s="207">
        <f>ROUND((L683*0.9*H679+1.3*L683*0.9*J679+R683*G679),4)</f>
        <v>127.8608</v>
      </c>
      <c r="U683" s="207">
        <f>ROUND((L683*H679+1.3*L683*J679+R683*G679),4)</f>
        <v>141.66749999999999</v>
      </c>
      <c r="V683" s="207">
        <f>ROUND((K683*I679+1.3*K683*M679+R683*F679),4)</f>
        <v>7.65</v>
      </c>
      <c r="W683" s="207">
        <f>ROUND((L683*0.9*I679+1.3*L683*0.9*M679+R683*F679),4)</f>
        <v>10.323</v>
      </c>
      <c r="X683" s="207">
        <f>ROUND((L683*I679+1.3*L683*M679+R683*F679),4)</f>
        <v>11.43</v>
      </c>
      <c r="Y683" s="385">
        <f>ROUND((O679*S683*E679*N679/1000000),4)</f>
        <v>1.6400000000000001E-2</v>
      </c>
      <c r="Z683" s="385">
        <f>ROUND((P679*T683*E679*N679/1000000),4)</f>
        <v>0</v>
      </c>
      <c r="AA683" s="385">
        <f>ROUND((Q679*U683*E679*N679/1000000),4)</f>
        <v>0</v>
      </c>
      <c r="AB683" s="931" t="s">
        <v>61</v>
      </c>
      <c r="AC683" s="932" t="s">
        <v>62</v>
      </c>
      <c r="AD683" s="933">
        <f>ROUND((((W683*D679)/1800)),4)</f>
        <v>5.7000000000000002E-3</v>
      </c>
      <c r="AE683" s="933">
        <f>ROUND(((Y683+Z683+AA683)),4)</f>
        <v>1.6400000000000001E-2</v>
      </c>
      <c r="AF683" s="61"/>
      <c r="AG683" s="61"/>
      <c r="AH683" s="61"/>
      <c r="AI683" s="61"/>
    </row>
    <row r="684" spans="1:35" s="417" customFormat="1" ht="15" customHeight="1" x14ac:dyDescent="0.2">
      <c r="A684" s="563"/>
      <c r="B684" s="214"/>
      <c r="C684" s="214"/>
      <c r="D684" s="210"/>
      <c r="E684" s="210"/>
      <c r="F684" s="210"/>
      <c r="G684" s="210"/>
      <c r="H684" s="210"/>
      <c r="I684" s="210"/>
      <c r="J684" s="210"/>
      <c r="K684" s="210">
        <v>1.29</v>
      </c>
      <c r="L684" s="210">
        <v>1.57</v>
      </c>
      <c r="M684" s="210"/>
      <c r="N684" s="210"/>
      <c r="O684" s="210"/>
      <c r="P684" s="210"/>
      <c r="Q684" s="210"/>
      <c r="R684" s="133">
        <v>2.4</v>
      </c>
      <c r="S684" s="134">
        <f>ROUND((K684*H679+1.3*K684*J679+R684*G679),4)</f>
        <v>578.40750000000003</v>
      </c>
      <c r="T684" s="134">
        <f>ROUND((L684*0.9*H679+1.3*L684*0.9*J679+R684*G679),4)</f>
        <v>619.82780000000002</v>
      </c>
      <c r="U684" s="134">
        <f>ROUND((L684*H679+1.3*L684*J679+R684*G679),4)</f>
        <v>672.69749999999999</v>
      </c>
      <c r="V684" s="134">
        <f>ROUND((K684*I679+1.3*K684*M679+R684*F679),4)</f>
        <v>49.23</v>
      </c>
      <c r="W684" s="134">
        <f>ROUND((L684*0.9*I679+1.3*L684*0.9*M679+R684*F679),4)</f>
        <v>52.551000000000002</v>
      </c>
      <c r="X684" s="134">
        <f>ROUND((L684*I679+1.3*L684*M679+R684*F679),4)</f>
        <v>56.79</v>
      </c>
      <c r="Y684" s="394">
        <f>ROUND((O679*S684*E679*N679/1000000),4)</f>
        <v>0.10009999999999999</v>
      </c>
      <c r="Z684" s="394">
        <f>ROUND((P679*T684*E679*N679/1000000),4)</f>
        <v>0</v>
      </c>
      <c r="AA684" s="394">
        <f>ROUND((Q679*U684*E679*N679/1000000),4)</f>
        <v>0</v>
      </c>
      <c r="AB684" s="931" t="s">
        <v>65</v>
      </c>
      <c r="AC684" s="932" t="s">
        <v>66</v>
      </c>
      <c r="AD684" s="933">
        <f>ROUND((((W684*D679)/1800)),4)</f>
        <v>2.92E-2</v>
      </c>
      <c r="AE684" s="933">
        <f>ROUND(((Y684+Z684+AA684)),4)</f>
        <v>0.10009999999999999</v>
      </c>
      <c r="AF684" s="61">
        <f>SUM(AD679:AD684)</f>
        <v>8.2100000000000006E-2</v>
      </c>
      <c r="AG684" s="61">
        <f>SUM(AE679:AE684)</f>
        <v>0.29530000000000001</v>
      </c>
      <c r="AH684" s="61"/>
      <c r="AI684" s="61"/>
    </row>
    <row r="685" spans="1:35" s="417" customFormat="1" ht="15" customHeight="1" x14ac:dyDescent="0.2">
      <c r="A685" s="1449" t="s">
        <v>716</v>
      </c>
      <c r="B685" s="1450"/>
      <c r="C685" s="1451"/>
      <c r="D685" s="1451"/>
      <c r="E685" s="1451"/>
      <c r="F685" s="1451"/>
      <c r="G685" s="1451"/>
      <c r="H685" s="1451"/>
      <c r="I685" s="1451"/>
      <c r="J685" s="1451"/>
      <c r="K685" s="1451"/>
      <c r="L685" s="1451"/>
      <c r="M685" s="1451"/>
      <c r="N685" s="1451"/>
      <c r="O685" s="1451"/>
      <c r="P685" s="1451"/>
      <c r="Q685" s="1451"/>
      <c r="R685" s="1451"/>
      <c r="S685" s="1451"/>
      <c r="T685" s="1451"/>
      <c r="U685" s="1451"/>
      <c r="V685" s="1451"/>
      <c r="W685" s="1451"/>
      <c r="X685" s="1451"/>
      <c r="Y685" s="1451"/>
      <c r="Z685" s="1451"/>
      <c r="AA685" s="1451"/>
      <c r="AB685" s="1451"/>
      <c r="AC685" s="1451"/>
      <c r="AD685" s="1451"/>
      <c r="AE685" s="1452"/>
      <c r="AF685" s="61"/>
      <c r="AG685" s="61"/>
      <c r="AH685" s="61"/>
      <c r="AI685" s="61"/>
    </row>
    <row r="686" spans="1:35" s="417" customFormat="1" ht="15" customHeight="1" x14ac:dyDescent="0.2">
      <c r="A686" s="551" t="s">
        <v>1021</v>
      </c>
      <c r="B686" s="398" t="s">
        <v>343</v>
      </c>
      <c r="C686" s="212">
        <v>4</v>
      </c>
      <c r="D686" s="170">
        <v>1</v>
      </c>
      <c r="E686" s="170">
        <v>1</v>
      </c>
      <c r="F686" s="170">
        <v>6</v>
      </c>
      <c r="G686" s="170">
        <v>60</v>
      </c>
      <c r="H686" s="170">
        <f>(8-1-0.75*2)*60*E686-J686-8*0.12*60</f>
        <v>57.900000000000006</v>
      </c>
      <c r="I686" s="170">
        <v>14</v>
      </c>
      <c r="J686" s="170">
        <f>(8-1-0.75*2)*0.65*60*E686</f>
        <v>214.5</v>
      </c>
      <c r="K686" s="170">
        <v>2.4700000000000002</v>
      </c>
      <c r="L686" s="170">
        <v>2.4700000000000002</v>
      </c>
      <c r="M686" s="170">
        <v>10</v>
      </c>
      <c r="N686" s="170">
        <f>D686/E686</f>
        <v>1</v>
      </c>
      <c r="O686" s="170">
        <v>180</v>
      </c>
      <c r="P686" s="170">
        <v>90</v>
      </c>
      <c r="Q686" s="211">
        <v>95</v>
      </c>
      <c r="R686" s="170">
        <v>0.48</v>
      </c>
      <c r="S686" s="207">
        <f>ROUND((K686*H686+1.3*K686*J686+R686*G686),4)</f>
        <v>860.57249999999999</v>
      </c>
      <c r="T686" s="207">
        <f>ROUND((L686*H686+1.3*L686*J686+R686*G686),4)</f>
        <v>860.57249999999999</v>
      </c>
      <c r="U686" s="207">
        <f>ROUND((L686*H686+1.3*L686*J686+R686*G686),4)</f>
        <v>860.57249999999999</v>
      </c>
      <c r="V686" s="207">
        <f>ROUND((K686*I686+1.3*K686*M686+R686*F686),4)</f>
        <v>69.569999999999993</v>
      </c>
      <c r="W686" s="207">
        <f>ROUND((L686*I686+1.3*L686*M686+R686*F686),4)</f>
        <v>69.569999999999993</v>
      </c>
      <c r="X686" s="207">
        <f>ROUND((L686*I686+1.3*L686*M686+R686*F686),4)</f>
        <v>69.569999999999993</v>
      </c>
      <c r="Y686" s="385">
        <f>ROUND((O686*S686*E686*N686/1000000),4)</f>
        <v>0.15490000000000001</v>
      </c>
      <c r="Z686" s="385">
        <f>ROUND((P686*T686*E686*N686/1000000),4)</f>
        <v>7.7499999999999999E-2</v>
      </c>
      <c r="AA686" s="385">
        <f>ROUND((Q686*U686*E686*N686/1000000),4)</f>
        <v>8.1799999999999998E-2</v>
      </c>
      <c r="AB686" s="931" t="s">
        <v>48</v>
      </c>
      <c r="AC686" s="932" t="s">
        <v>49</v>
      </c>
      <c r="AD686" s="933">
        <f>ROUND((((W686*D686)/1800)*0.8),4)</f>
        <v>3.09E-2</v>
      </c>
      <c r="AE686" s="933">
        <f>ROUND(((Y686+Z686+AA686)*0.8),4)</f>
        <v>0.25140000000000001</v>
      </c>
      <c r="AF686" s="61"/>
      <c r="AG686" s="61"/>
      <c r="AH686" s="61"/>
      <c r="AI686" s="61"/>
    </row>
    <row r="687" spans="1:35" s="417" customFormat="1" ht="15" customHeight="1" x14ac:dyDescent="0.2">
      <c r="A687" s="552" t="s">
        <v>166</v>
      </c>
      <c r="B687" s="399" t="s">
        <v>359</v>
      </c>
      <c r="C687" s="387"/>
      <c r="D687" s="209"/>
      <c r="E687" s="209"/>
      <c r="F687" s="209"/>
      <c r="G687" s="209"/>
      <c r="H687" s="209"/>
      <c r="I687" s="209"/>
      <c r="J687" s="209"/>
      <c r="K687" s="209"/>
      <c r="L687" s="209"/>
      <c r="M687" s="209"/>
      <c r="N687" s="209"/>
      <c r="O687" s="209"/>
      <c r="P687" s="209"/>
      <c r="Q687" s="209"/>
      <c r="R687" s="388"/>
      <c r="S687" s="215"/>
      <c r="T687" s="215"/>
      <c r="U687" s="215"/>
      <c r="V687" s="215"/>
      <c r="W687" s="215"/>
      <c r="X687" s="215"/>
      <c r="Y687" s="215"/>
      <c r="Z687" s="215"/>
      <c r="AA687" s="215"/>
      <c r="AB687" s="931" t="s">
        <v>51</v>
      </c>
      <c r="AC687" s="932" t="s">
        <v>52</v>
      </c>
      <c r="AD687" s="933">
        <f>ROUND((((W686*D686)/1800)*0.13),4)</f>
        <v>5.0000000000000001E-3</v>
      </c>
      <c r="AE687" s="933">
        <f>ROUND(((Y686+Z686+AA686)*0.13),4)</f>
        <v>4.0800000000000003E-2</v>
      </c>
      <c r="AF687" s="61"/>
      <c r="AG687" s="61"/>
      <c r="AH687" s="61"/>
      <c r="AI687" s="61"/>
    </row>
    <row r="688" spans="1:35" s="417" customFormat="1" ht="15" customHeight="1" x14ac:dyDescent="0.2">
      <c r="A688" s="558"/>
      <c r="B688" s="387" t="s">
        <v>360</v>
      </c>
      <c r="C688" s="389"/>
      <c r="D688" s="209"/>
      <c r="E688" s="209"/>
      <c r="F688" s="209"/>
      <c r="G688" s="209"/>
      <c r="H688" s="209"/>
      <c r="I688" s="209"/>
      <c r="J688" s="209"/>
      <c r="K688" s="209">
        <v>0.19</v>
      </c>
      <c r="L688" s="209">
        <v>0.23</v>
      </c>
      <c r="M688" s="209"/>
      <c r="N688" s="209"/>
      <c r="O688" s="209"/>
      <c r="P688" s="209"/>
      <c r="Q688" s="209"/>
      <c r="R688" s="133">
        <v>9.7000000000000003E-2</v>
      </c>
      <c r="S688" s="207">
        <f>ROUND((K688*H686+1.3*K688*J686+R688*G686),4)</f>
        <v>69.802499999999995</v>
      </c>
      <c r="T688" s="207">
        <f>ROUND((L688*0.9*H686+1.3*L688*0.9*J686+R688*G686),4)</f>
        <v>75.527299999999997</v>
      </c>
      <c r="U688" s="207">
        <f>ROUND((L688*H686+1.3*L688*J686+R688*G686),4)</f>
        <v>83.272499999999994</v>
      </c>
      <c r="V688" s="207">
        <f>ROUND((K688*I686+1.3*K688*M686+R688*F686),4)</f>
        <v>5.7119999999999997</v>
      </c>
      <c r="W688" s="207">
        <f>ROUND((L688*0.9*I686+1.3*L688*0.9*M686+R688*F686),4)</f>
        <v>6.1710000000000003</v>
      </c>
      <c r="X688" s="207">
        <f>ROUND((L688*I686+1.3*L688*M686+R688*F686),4)</f>
        <v>6.7919999999999998</v>
      </c>
      <c r="Y688" s="385">
        <f>ROUND((O686*S688*E686*N686/1000000),4)</f>
        <v>1.26E-2</v>
      </c>
      <c r="Z688" s="385">
        <f>ROUND((P686*T688*E686*N686/1000000),4)</f>
        <v>6.7999999999999996E-3</v>
      </c>
      <c r="AA688" s="385">
        <f>ROUND((Q686*U688*E686*N686/1000000),4)</f>
        <v>7.9000000000000008E-3</v>
      </c>
      <c r="AB688" s="931" t="s">
        <v>56</v>
      </c>
      <c r="AC688" s="932" t="s">
        <v>57</v>
      </c>
      <c r="AD688" s="933">
        <f>ROUND((((W688*D686)/1800)),4)</f>
        <v>3.3999999999999998E-3</v>
      </c>
      <c r="AE688" s="933">
        <f>ROUND(((Y688+Z688+AA688)),5)</f>
        <v>2.7300000000000001E-2</v>
      </c>
      <c r="AF688" s="61"/>
      <c r="AG688" s="61"/>
      <c r="AH688" s="61"/>
      <c r="AI688" s="61"/>
    </row>
    <row r="689" spans="1:35" s="417" customFormat="1" ht="15" customHeight="1" x14ac:dyDescent="0.2">
      <c r="A689" s="558"/>
      <c r="B689" s="387"/>
      <c r="C689" s="387"/>
      <c r="D689" s="209"/>
      <c r="E689" s="209"/>
      <c r="F689" s="209"/>
      <c r="G689" s="209"/>
      <c r="H689" s="209"/>
      <c r="I689" s="209"/>
      <c r="J689" s="209"/>
      <c r="K689" s="209">
        <v>0.43</v>
      </c>
      <c r="L689" s="209">
        <v>0.51</v>
      </c>
      <c r="M689" s="209"/>
      <c r="N689" s="209"/>
      <c r="O689" s="209"/>
      <c r="P689" s="209"/>
      <c r="Q689" s="209"/>
      <c r="R689" s="133">
        <v>0.3</v>
      </c>
      <c r="S689" s="207">
        <f>ROUND((K689*H686+1.3*K689*J686+R689*G686),4)</f>
        <v>162.80250000000001</v>
      </c>
      <c r="T689" s="207">
        <f>ROUND((L689*0.9*H686+1.3*L689*0.9*J686+R689*G686),4)</f>
        <v>172.56829999999999</v>
      </c>
      <c r="U689" s="207">
        <f>ROUND((L689*H686+1.3*L689*J686+R689*G686),4)</f>
        <v>189.74250000000001</v>
      </c>
      <c r="V689" s="207">
        <f>ROUND((K689*I686+1.3*K689*M686+R689*F686),4)</f>
        <v>13.41</v>
      </c>
      <c r="W689" s="207">
        <f>ROUND((L689*0.9*I686+1.3*L689*0.9*M686+R689*F686),4)</f>
        <v>14.193</v>
      </c>
      <c r="X689" s="207">
        <f>ROUND((L689*I686+1.3*M686+R689*F686),4)</f>
        <v>21.94</v>
      </c>
      <c r="Y689" s="385">
        <f>ROUND((O686*S689*E686*N686/1000000),4)</f>
        <v>2.93E-2</v>
      </c>
      <c r="Z689" s="385">
        <f>ROUND((P686*T689*E686*N686/1000000),4)</f>
        <v>1.55E-2</v>
      </c>
      <c r="AA689" s="385">
        <f>ROUND((Q686*U689*E686*N686/1000000),4)</f>
        <v>1.7999999999999999E-2</v>
      </c>
      <c r="AB689" s="931" t="s">
        <v>177</v>
      </c>
      <c r="AC689" s="932" t="s">
        <v>178</v>
      </c>
      <c r="AD689" s="933">
        <f>ROUND((((W689*D686)/1800)),4)</f>
        <v>7.9000000000000008E-3</v>
      </c>
      <c r="AE689" s="933">
        <f>ROUND(((Y689+Z689+AA689)),4)</f>
        <v>6.2799999999999995E-2</v>
      </c>
      <c r="AF689" s="61"/>
      <c r="AG689" s="61"/>
      <c r="AH689" s="61"/>
      <c r="AI689" s="61"/>
    </row>
    <row r="690" spans="1:35" s="417" customFormat="1" ht="15" customHeight="1" x14ac:dyDescent="0.2">
      <c r="A690" s="558"/>
      <c r="B690" s="387"/>
      <c r="C690" s="387"/>
      <c r="D690" s="209"/>
      <c r="E690" s="209"/>
      <c r="F690" s="209"/>
      <c r="G690" s="209"/>
      <c r="H690" s="209"/>
      <c r="I690" s="209"/>
      <c r="J690" s="209"/>
      <c r="K690" s="209">
        <v>0.27</v>
      </c>
      <c r="L690" s="209">
        <v>0.41</v>
      </c>
      <c r="M690" s="209"/>
      <c r="N690" s="209"/>
      <c r="O690" s="209"/>
      <c r="P690" s="209"/>
      <c r="Q690" s="209"/>
      <c r="R690" s="133">
        <v>0.06</v>
      </c>
      <c r="S690" s="207">
        <f>ROUND((K690*H686+1.3*K690*J686+R690*G686),4)</f>
        <v>94.522499999999994</v>
      </c>
      <c r="T690" s="207">
        <f>ROUND((L690*0.9*H686+1.3*L690*0.9*J686+R690*G686),4)</f>
        <v>127.8608</v>
      </c>
      <c r="U690" s="207">
        <f>ROUND((L690*H686+1.3*L690*J686+R690*G686),4)</f>
        <v>141.66749999999999</v>
      </c>
      <c r="V690" s="207">
        <f>ROUND((K690*I686+1.3*K690*M686+R690*F686),4)</f>
        <v>7.65</v>
      </c>
      <c r="W690" s="207">
        <f>ROUND((L690*0.9*I686+1.3*L690*0.9*M686+R690*F686),4)</f>
        <v>10.323</v>
      </c>
      <c r="X690" s="207">
        <f>ROUND((L690*I686+1.3*L690*M686+R690*F686),4)</f>
        <v>11.43</v>
      </c>
      <c r="Y690" s="385">
        <f>ROUND((O686*S690*E686*N686/1000000),4)</f>
        <v>1.7000000000000001E-2</v>
      </c>
      <c r="Z690" s="385">
        <f>ROUND((P686*T690*E686*N686/1000000),4)</f>
        <v>1.15E-2</v>
      </c>
      <c r="AA690" s="385">
        <f>ROUND((Q686*U690*E686*N686/1000000),4)</f>
        <v>1.35E-2</v>
      </c>
      <c r="AB690" s="931" t="s">
        <v>61</v>
      </c>
      <c r="AC690" s="932" t="s">
        <v>62</v>
      </c>
      <c r="AD690" s="933">
        <f>ROUND((((W690*D686)/1800)),4)</f>
        <v>5.7000000000000002E-3</v>
      </c>
      <c r="AE690" s="933">
        <f>ROUND(((Y690+Z690+AA690)),4)</f>
        <v>4.2000000000000003E-2</v>
      </c>
      <c r="AF690" s="61"/>
      <c r="AG690" s="61"/>
      <c r="AH690" s="61"/>
      <c r="AI690" s="61"/>
    </row>
    <row r="691" spans="1:35" s="417" customFormat="1" ht="15" customHeight="1" x14ac:dyDescent="0.2">
      <c r="A691" s="563"/>
      <c r="B691" s="214"/>
      <c r="C691" s="214"/>
      <c r="D691" s="210"/>
      <c r="E691" s="210"/>
      <c r="F691" s="210"/>
      <c r="G691" s="210"/>
      <c r="H691" s="210"/>
      <c r="I691" s="210"/>
      <c r="J691" s="210"/>
      <c r="K691" s="210">
        <v>1.29</v>
      </c>
      <c r="L691" s="210">
        <v>1.57</v>
      </c>
      <c r="M691" s="210"/>
      <c r="N691" s="210"/>
      <c r="O691" s="210"/>
      <c r="P691" s="210"/>
      <c r="Q691" s="210"/>
      <c r="R691" s="133">
        <v>2.4</v>
      </c>
      <c r="S691" s="134">
        <f>ROUND((K691*H686+1.3*K691*J686+R691*G686),4)</f>
        <v>578.40750000000003</v>
      </c>
      <c r="T691" s="134">
        <f>ROUND((L691*0.9*H686+1.3*L691*0.9*J686+R691*G686),4)</f>
        <v>619.82780000000002</v>
      </c>
      <c r="U691" s="134">
        <f>ROUND((L691*H686+1.3*L691*J686+R691*G686),4)</f>
        <v>672.69749999999999</v>
      </c>
      <c r="V691" s="134">
        <f>ROUND((K691*I686+1.3*K691*M686+R691*F686),4)</f>
        <v>49.23</v>
      </c>
      <c r="W691" s="134">
        <f>ROUND((L691*0.9*I686+1.3*L691*0.9*M686+R691*F686),4)</f>
        <v>52.551000000000002</v>
      </c>
      <c r="X691" s="134">
        <f>ROUND((L691*I686+1.3*L691*M686+R691*F686),4)</f>
        <v>56.79</v>
      </c>
      <c r="Y691" s="394">
        <f>ROUND((O686*S691*E686*N686/1000000),4)</f>
        <v>0.1041</v>
      </c>
      <c r="Z691" s="394">
        <f>ROUND((P686*T691*E686*N686/1000000),4)</f>
        <v>5.5800000000000002E-2</v>
      </c>
      <c r="AA691" s="394">
        <f>ROUND((Q686*U691*E686*N686/1000000),4)</f>
        <v>6.3899999999999998E-2</v>
      </c>
      <c r="AB691" s="931" t="s">
        <v>65</v>
      </c>
      <c r="AC691" s="932" t="s">
        <v>66</v>
      </c>
      <c r="AD691" s="933">
        <f>ROUND((((W691*D686)/1800)),4)</f>
        <v>2.92E-2</v>
      </c>
      <c r="AE691" s="933">
        <f>ROUND(((Y691+Z691+AA691)),4)</f>
        <v>0.2238</v>
      </c>
      <c r="AF691" s="61">
        <f>SUM(AD686:AD691)</f>
        <v>8.2100000000000006E-2</v>
      </c>
      <c r="AG691" s="61">
        <f>SUM(AE686:AE691)</f>
        <v>0.6480999999999999</v>
      </c>
      <c r="AH691" s="61"/>
      <c r="AI691" s="61"/>
    </row>
    <row r="692" spans="1:35" s="417" customFormat="1" ht="15" customHeight="1" x14ac:dyDescent="0.2">
      <c r="A692" s="1449" t="s">
        <v>717</v>
      </c>
      <c r="B692" s="1450"/>
      <c r="C692" s="1451"/>
      <c r="D692" s="1451"/>
      <c r="E692" s="1451"/>
      <c r="F692" s="1451"/>
      <c r="G692" s="1451"/>
      <c r="H692" s="1451"/>
      <c r="I692" s="1451"/>
      <c r="J692" s="1451"/>
      <c r="K692" s="1451"/>
      <c r="L692" s="1451"/>
      <c r="M692" s="1451"/>
      <c r="N692" s="1451"/>
      <c r="O692" s="1451"/>
      <c r="P692" s="1451"/>
      <c r="Q692" s="1451"/>
      <c r="R692" s="1451"/>
      <c r="S692" s="1451"/>
      <c r="T692" s="1451"/>
      <c r="U692" s="1451"/>
      <c r="V692" s="1451"/>
      <c r="W692" s="1451"/>
      <c r="X692" s="1451"/>
      <c r="Y692" s="1451"/>
      <c r="Z692" s="1451"/>
      <c r="AA692" s="1451"/>
      <c r="AB692" s="1451"/>
      <c r="AC692" s="1451"/>
      <c r="AD692" s="1451"/>
      <c r="AE692" s="1452"/>
      <c r="AF692" s="61"/>
      <c r="AG692" s="61"/>
      <c r="AH692" s="61"/>
      <c r="AI692" s="61"/>
    </row>
    <row r="693" spans="1:35" s="417" customFormat="1" ht="15" customHeight="1" x14ac:dyDescent="0.2">
      <c r="A693" s="551" t="s">
        <v>1022</v>
      </c>
      <c r="B693" s="398" t="s">
        <v>343</v>
      </c>
      <c r="C693" s="212">
        <v>4</v>
      </c>
      <c r="D693" s="170">
        <v>1</v>
      </c>
      <c r="E693" s="170">
        <v>1</v>
      </c>
      <c r="F693" s="170">
        <v>6</v>
      </c>
      <c r="G693" s="170">
        <v>60</v>
      </c>
      <c r="H693" s="170">
        <f>(8-1-0.75*2)*60*E693-J693-8*0.12*60</f>
        <v>57.900000000000006</v>
      </c>
      <c r="I693" s="170">
        <v>14</v>
      </c>
      <c r="J693" s="170">
        <f>(8-1-0.75*2)*0.65*60*E693</f>
        <v>214.5</v>
      </c>
      <c r="K693" s="170">
        <v>2.4700000000000002</v>
      </c>
      <c r="L693" s="170">
        <v>2.4700000000000002</v>
      </c>
      <c r="M693" s="170">
        <v>10</v>
      </c>
      <c r="N693" s="170">
        <f>D693/E693</f>
        <v>1</v>
      </c>
      <c r="O693" s="170">
        <v>180</v>
      </c>
      <c r="P693" s="170">
        <v>90</v>
      </c>
      <c r="Q693" s="211">
        <v>95</v>
      </c>
      <c r="R693" s="170">
        <v>0.48</v>
      </c>
      <c r="S693" s="207">
        <f>ROUND((K693*H693+1.3*K693*J693+R693*G693),4)</f>
        <v>860.57249999999999</v>
      </c>
      <c r="T693" s="207">
        <f>ROUND((L693*H693+1.3*L693*J693+R693*G693),4)</f>
        <v>860.57249999999999</v>
      </c>
      <c r="U693" s="207">
        <f>ROUND((L693*H693+1.3*L693*J693+R693*G693),4)</f>
        <v>860.57249999999999</v>
      </c>
      <c r="V693" s="207">
        <f>ROUND((K693*I693+1.3*K693*M693+R693*F693),4)</f>
        <v>69.569999999999993</v>
      </c>
      <c r="W693" s="207">
        <f>ROUND((L693*I693+1.3*L693*M693+R693*F693),4)</f>
        <v>69.569999999999993</v>
      </c>
      <c r="X693" s="207">
        <f>ROUND((L693*I693+1.3*L693*M693+R693*F693),4)</f>
        <v>69.569999999999993</v>
      </c>
      <c r="Y693" s="385">
        <f>ROUND((O693*S693*E693*N693/1000000),4)</f>
        <v>0.15490000000000001</v>
      </c>
      <c r="Z693" s="385">
        <f>ROUND((P693*T693*E693*N693/1000000),4)</f>
        <v>7.7499999999999999E-2</v>
      </c>
      <c r="AA693" s="385">
        <f>ROUND((Q693*U693*E693*N693/1000000),4)</f>
        <v>8.1799999999999998E-2</v>
      </c>
      <c r="AB693" s="931" t="s">
        <v>48</v>
      </c>
      <c r="AC693" s="932" t="s">
        <v>49</v>
      </c>
      <c r="AD693" s="933">
        <f>ROUND((((W693*D693)/1800)*0.8),4)</f>
        <v>3.09E-2</v>
      </c>
      <c r="AE693" s="933">
        <f>ROUND(((Y693+Z693+AA693)*0.8),4)</f>
        <v>0.25140000000000001</v>
      </c>
      <c r="AF693" s="61"/>
      <c r="AG693" s="61"/>
      <c r="AH693" s="61"/>
      <c r="AI693" s="61"/>
    </row>
    <row r="694" spans="1:35" s="417" customFormat="1" ht="15" customHeight="1" x14ac:dyDescent="0.2">
      <c r="A694" s="552" t="s">
        <v>166</v>
      </c>
      <c r="B694" s="399" t="s">
        <v>359</v>
      </c>
      <c r="C694" s="387"/>
      <c r="D694" s="209"/>
      <c r="E694" s="209"/>
      <c r="F694" s="209"/>
      <c r="G694" s="209"/>
      <c r="H694" s="209"/>
      <c r="I694" s="209"/>
      <c r="J694" s="209"/>
      <c r="K694" s="209"/>
      <c r="L694" s="209"/>
      <c r="M694" s="209"/>
      <c r="N694" s="209"/>
      <c r="O694" s="209"/>
      <c r="P694" s="209"/>
      <c r="Q694" s="209"/>
      <c r="R694" s="388"/>
      <c r="S694" s="215"/>
      <c r="T694" s="215"/>
      <c r="U694" s="215"/>
      <c r="V694" s="215"/>
      <c r="W694" s="215"/>
      <c r="X694" s="215"/>
      <c r="Y694" s="215"/>
      <c r="Z694" s="215"/>
      <c r="AA694" s="215"/>
      <c r="AB694" s="931" t="s">
        <v>51</v>
      </c>
      <c r="AC694" s="932" t="s">
        <v>52</v>
      </c>
      <c r="AD694" s="933">
        <f>ROUND((((W693*D693)/1800)*0.13),4)</f>
        <v>5.0000000000000001E-3</v>
      </c>
      <c r="AE694" s="933">
        <f>ROUND(((Y693+Z693+AA693)*0.13),4)</f>
        <v>4.0800000000000003E-2</v>
      </c>
      <c r="AF694" s="61"/>
      <c r="AG694" s="61"/>
      <c r="AH694" s="61"/>
      <c r="AI694" s="61"/>
    </row>
    <row r="695" spans="1:35" s="417" customFormat="1" ht="15" customHeight="1" x14ac:dyDescent="0.2">
      <c r="A695" s="558"/>
      <c r="B695" s="387" t="s">
        <v>360</v>
      </c>
      <c r="C695" s="389"/>
      <c r="D695" s="209"/>
      <c r="E695" s="209"/>
      <c r="F695" s="209"/>
      <c r="G695" s="209"/>
      <c r="H695" s="209"/>
      <c r="I695" s="209"/>
      <c r="J695" s="209"/>
      <c r="K695" s="209">
        <v>0.19</v>
      </c>
      <c r="L695" s="209">
        <v>0.23</v>
      </c>
      <c r="M695" s="209"/>
      <c r="N695" s="209"/>
      <c r="O695" s="209"/>
      <c r="P695" s="209"/>
      <c r="Q695" s="209"/>
      <c r="R695" s="133">
        <v>9.7000000000000003E-2</v>
      </c>
      <c r="S695" s="207">
        <f>ROUND((K695*H693+1.3*K695*J693+R695*G693),4)</f>
        <v>69.802499999999995</v>
      </c>
      <c r="T695" s="207">
        <f>ROUND((L695*0.9*H693+1.3*L695*0.9*J693+R695*G693),4)</f>
        <v>75.527299999999997</v>
      </c>
      <c r="U695" s="207">
        <f>ROUND((L695*H693+1.3*L695*J693+R695*G693),4)</f>
        <v>83.272499999999994</v>
      </c>
      <c r="V695" s="207">
        <f>ROUND((K695*I693+1.3*K695*M693+R695*F693),4)</f>
        <v>5.7119999999999997</v>
      </c>
      <c r="W695" s="207">
        <f>ROUND((L695*0.9*I693+1.3*L695*0.9*M693+R695*F693),4)</f>
        <v>6.1710000000000003</v>
      </c>
      <c r="X695" s="207">
        <f>ROUND((L695*I693+1.3*L695*M693+R695*F693),4)</f>
        <v>6.7919999999999998</v>
      </c>
      <c r="Y695" s="385">
        <f>ROUND((O693*S695*E693*N693/1000000),4)</f>
        <v>1.26E-2</v>
      </c>
      <c r="Z695" s="385">
        <f>ROUND((P693*T695*E693*N693/1000000),4)</f>
        <v>6.7999999999999996E-3</v>
      </c>
      <c r="AA695" s="385">
        <f>ROUND((Q693*U695*E693*N693/1000000),4)</f>
        <v>7.9000000000000008E-3</v>
      </c>
      <c r="AB695" s="931" t="s">
        <v>56</v>
      </c>
      <c r="AC695" s="932" t="s">
        <v>57</v>
      </c>
      <c r="AD695" s="933">
        <f>ROUND((((W695*D693)/1800)),4)</f>
        <v>3.3999999999999998E-3</v>
      </c>
      <c r="AE695" s="933">
        <f>ROUND(((Y695+Z695+AA695)),5)</f>
        <v>2.7300000000000001E-2</v>
      </c>
      <c r="AF695" s="61"/>
      <c r="AG695" s="61"/>
      <c r="AH695" s="61"/>
      <c r="AI695" s="61"/>
    </row>
    <row r="696" spans="1:35" s="417" customFormat="1" ht="15" customHeight="1" x14ac:dyDescent="0.2">
      <c r="A696" s="558"/>
      <c r="B696" s="387"/>
      <c r="C696" s="387"/>
      <c r="D696" s="209"/>
      <c r="E696" s="209"/>
      <c r="F696" s="209"/>
      <c r="G696" s="209"/>
      <c r="H696" s="209"/>
      <c r="I696" s="209"/>
      <c r="J696" s="209"/>
      <c r="K696" s="209">
        <v>0.43</v>
      </c>
      <c r="L696" s="209">
        <v>0.51</v>
      </c>
      <c r="M696" s="209"/>
      <c r="N696" s="209"/>
      <c r="O696" s="209"/>
      <c r="P696" s="209"/>
      <c r="Q696" s="209"/>
      <c r="R696" s="133">
        <v>0.3</v>
      </c>
      <c r="S696" s="207">
        <f>ROUND((K696*H693+1.3*K696*J693+R696*G693),4)</f>
        <v>162.80250000000001</v>
      </c>
      <c r="T696" s="207">
        <f>ROUND((L696*0.9*H693+1.3*L696*0.9*J693+R696*G693),4)</f>
        <v>172.56829999999999</v>
      </c>
      <c r="U696" s="207">
        <f>ROUND((L696*H693+1.3*L696*J693+R696*G693),4)</f>
        <v>189.74250000000001</v>
      </c>
      <c r="V696" s="207">
        <f>ROUND((K696*I693+1.3*K696*M693+R696*F693),4)</f>
        <v>13.41</v>
      </c>
      <c r="W696" s="207">
        <f>ROUND((L696*0.9*I693+1.3*L696*0.9*M693+R696*F693),4)</f>
        <v>14.193</v>
      </c>
      <c r="X696" s="207">
        <f>ROUND((L696*I693+1.3*M693+R696*F693),4)</f>
        <v>21.94</v>
      </c>
      <c r="Y696" s="385">
        <f>ROUND((O693*S696*E693*N693/1000000),4)</f>
        <v>2.93E-2</v>
      </c>
      <c r="Z696" s="385">
        <f>ROUND((P693*T696*E693*N693/1000000),4)</f>
        <v>1.55E-2</v>
      </c>
      <c r="AA696" s="385">
        <f>ROUND((Q693*U696*E693*N693/1000000),4)</f>
        <v>1.7999999999999999E-2</v>
      </c>
      <c r="AB696" s="931" t="s">
        <v>177</v>
      </c>
      <c r="AC696" s="932" t="s">
        <v>178</v>
      </c>
      <c r="AD696" s="933">
        <f>ROUND((((W696*D693)/1800)),4)</f>
        <v>7.9000000000000008E-3</v>
      </c>
      <c r="AE696" s="933">
        <f>ROUND(((Y696+Z696+AA696)),4)</f>
        <v>6.2799999999999995E-2</v>
      </c>
      <c r="AF696" s="61"/>
      <c r="AG696" s="61"/>
      <c r="AH696" s="61"/>
      <c r="AI696" s="61"/>
    </row>
    <row r="697" spans="1:35" s="417" customFormat="1" ht="15" customHeight="1" x14ac:dyDescent="0.2">
      <c r="A697" s="558"/>
      <c r="B697" s="387"/>
      <c r="C697" s="387"/>
      <c r="D697" s="209"/>
      <c r="E697" s="209"/>
      <c r="F697" s="209"/>
      <c r="G697" s="209"/>
      <c r="H697" s="209"/>
      <c r="I697" s="209"/>
      <c r="J697" s="209"/>
      <c r="K697" s="209">
        <v>0.27</v>
      </c>
      <c r="L697" s="209">
        <v>0.41</v>
      </c>
      <c r="M697" s="209"/>
      <c r="N697" s="209"/>
      <c r="O697" s="209"/>
      <c r="P697" s="209"/>
      <c r="Q697" s="209"/>
      <c r="R697" s="133">
        <v>0.06</v>
      </c>
      <c r="S697" s="207">
        <f>ROUND((K697*H693+1.3*K697*J693+R697*G693),4)</f>
        <v>94.522499999999994</v>
      </c>
      <c r="T697" s="207">
        <f>ROUND((L697*0.9*H693+1.3*L697*0.9*J693+R697*G693),4)</f>
        <v>127.8608</v>
      </c>
      <c r="U697" s="207">
        <f>ROUND((L697*H693+1.3*L697*J693+R697*G693),4)</f>
        <v>141.66749999999999</v>
      </c>
      <c r="V697" s="207">
        <f>ROUND((K697*I693+1.3*K697*M693+R697*F693),4)</f>
        <v>7.65</v>
      </c>
      <c r="W697" s="207">
        <f>ROUND((L697*0.9*I693+1.3*L697*0.9*M693+R697*F693),4)</f>
        <v>10.323</v>
      </c>
      <c r="X697" s="207">
        <f>ROUND((L697*I693+1.3*L697*M693+R697*F693),4)</f>
        <v>11.43</v>
      </c>
      <c r="Y697" s="385">
        <f>ROUND((O693*S697*E693*N693/1000000),4)</f>
        <v>1.7000000000000001E-2</v>
      </c>
      <c r="Z697" s="385">
        <f>ROUND((P693*T697*E693*N693/1000000),4)</f>
        <v>1.15E-2</v>
      </c>
      <c r="AA697" s="385">
        <f>ROUND((Q693*U697*E693*N693/1000000),4)</f>
        <v>1.35E-2</v>
      </c>
      <c r="AB697" s="931" t="s">
        <v>61</v>
      </c>
      <c r="AC697" s="932" t="s">
        <v>62</v>
      </c>
      <c r="AD697" s="933">
        <f>ROUND((((W697*D693)/1800)),4)</f>
        <v>5.7000000000000002E-3</v>
      </c>
      <c r="AE697" s="933">
        <f>ROUND(((Y697+Z697+AA697)),4)</f>
        <v>4.2000000000000003E-2</v>
      </c>
      <c r="AF697" s="61"/>
      <c r="AG697" s="61"/>
      <c r="AH697" s="61"/>
      <c r="AI697" s="61"/>
    </row>
    <row r="698" spans="1:35" s="417" customFormat="1" ht="15" customHeight="1" x14ac:dyDescent="0.2">
      <c r="A698" s="563"/>
      <c r="B698" s="214"/>
      <c r="C698" s="214"/>
      <c r="D698" s="210"/>
      <c r="E698" s="210"/>
      <c r="F698" s="210"/>
      <c r="G698" s="210"/>
      <c r="H698" s="210"/>
      <c r="I698" s="210"/>
      <c r="J698" s="210"/>
      <c r="K698" s="210">
        <v>1.29</v>
      </c>
      <c r="L698" s="210">
        <v>1.57</v>
      </c>
      <c r="M698" s="210"/>
      <c r="N698" s="210"/>
      <c r="O698" s="210"/>
      <c r="P698" s="210"/>
      <c r="Q698" s="210"/>
      <c r="R698" s="133">
        <v>2.4</v>
      </c>
      <c r="S698" s="134">
        <f>ROUND((K698*H693+1.3*K698*J693+R698*G693),4)</f>
        <v>578.40750000000003</v>
      </c>
      <c r="T698" s="134">
        <f>ROUND((L698*0.9*H693+1.3*L698*0.9*J693+R698*G693),4)</f>
        <v>619.82780000000002</v>
      </c>
      <c r="U698" s="134">
        <f>ROUND((L698*H693+1.3*L698*J693+R698*G693),4)</f>
        <v>672.69749999999999</v>
      </c>
      <c r="V698" s="134">
        <f>ROUND((K698*I693+1.3*K698*M693+R698*F693),4)</f>
        <v>49.23</v>
      </c>
      <c r="W698" s="134">
        <f>ROUND((L698*0.9*I693+1.3*L698*0.9*M693+R698*F693),4)</f>
        <v>52.551000000000002</v>
      </c>
      <c r="X698" s="134">
        <f>ROUND((L698*I693+1.3*L698*M693+R698*F693),4)</f>
        <v>56.79</v>
      </c>
      <c r="Y698" s="394">
        <f>ROUND((O693*S698*E693*N693/1000000),4)</f>
        <v>0.1041</v>
      </c>
      <c r="Z698" s="394">
        <f>ROUND((P693*T698*E693*N693/1000000),4)</f>
        <v>5.5800000000000002E-2</v>
      </c>
      <c r="AA698" s="394">
        <f>ROUND((Q693*U698*E693*N693/1000000),4)</f>
        <v>6.3899999999999998E-2</v>
      </c>
      <c r="AB698" s="931" t="s">
        <v>65</v>
      </c>
      <c r="AC698" s="932" t="s">
        <v>66</v>
      </c>
      <c r="AD698" s="933">
        <f>ROUND((((W698*D693)/1800)),4)</f>
        <v>2.92E-2</v>
      </c>
      <c r="AE698" s="933">
        <f>ROUND(((Y698+Z698+AA698)),4)</f>
        <v>0.2238</v>
      </c>
      <c r="AF698" s="61">
        <f>SUM(AD693:AD698)</f>
        <v>8.2100000000000006E-2</v>
      </c>
      <c r="AG698" s="61">
        <f>SUM(AE693:AE698)</f>
        <v>0.6480999999999999</v>
      </c>
      <c r="AH698" s="61"/>
      <c r="AI698" s="61"/>
    </row>
    <row r="699" spans="1:35" s="417" customFormat="1" ht="15" customHeight="1" x14ac:dyDescent="0.2">
      <c r="A699" s="1449" t="s">
        <v>718</v>
      </c>
      <c r="B699" s="1450"/>
      <c r="C699" s="1451"/>
      <c r="D699" s="1451"/>
      <c r="E699" s="1451"/>
      <c r="F699" s="1451"/>
      <c r="G699" s="1451"/>
      <c r="H699" s="1451"/>
      <c r="I699" s="1451"/>
      <c r="J699" s="1451"/>
      <c r="K699" s="1451"/>
      <c r="L699" s="1451"/>
      <c r="M699" s="1451"/>
      <c r="N699" s="1451"/>
      <c r="O699" s="1451"/>
      <c r="P699" s="1451"/>
      <c r="Q699" s="1451"/>
      <c r="R699" s="1451"/>
      <c r="S699" s="1451"/>
      <c r="T699" s="1451"/>
      <c r="U699" s="1451"/>
      <c r="V699" s="1451"/>
      <c r="W699" s="1451"/>
      <c r="X699" s="1451"/>
      <c r="Y699" s="1451"/>
      <c r="Z699" s="1451"/>
      <c r="AA699" s="1451"/>
      <c r="AB699" s="1451"/>
      <c r="AC699" s="1451"/>
      <c r="AD699" s="1451"/>
      <c r="AE699" s="1452"/>
      <c r="AF699" s="61"/>
      <c r="AG699" s="61"/>
      <c r="AH699" s="61"/>
      <c r="AI699" s="61"/>
    </row>
    <row r="700" spans="1:35" s="417" customFormat="1" ht="15" customHeight="1" x14ac:dyDescent="0.2">
      <c r="A700" s="551" t="s">
        <v>1023</v>
      </c>
      <c r="B700" s="398" t="s">
        <v>343</v>
      </c>
      <c r="C700" s="212">
        <v>4</v>
      </c>
      <c r="D700" s="170">
        <v>1</v>
      </c>
      <c r="E700" s="170">
        <v>1</v>
      </c>
      <c r="F700" s="170">
        <v>6</v>
      </c>
      <c r="G700" s="170">
        <v>60</v>
      </c>
      <c r="H700" s="170">
        <f>(8-1-0.75*2)*60*E700-J700-8*0.12*60</f>
        <v>57.900000000000006</v>
      </c>
      <c r="I700" s="170">
        <v>14</v>
      </c>
      <c r="J700" s="170">
        <f>(8-1-0.75*2)*0.65*60*E700</f>
        <v>214.5</v>
      </c>
      <c r="K700" s="170">
        <v>2.4700000000000002</v>
      </c>
      <c r="L700" s="170">
        <v>2.4700000000000002</v>
      </c>
      <c r="M700" s="170">
        <v>10</v>
      </c>
      <c r="N700" s="170">
        <f>D700/E700</f>
        <v>1</v>
      </c>
      <c r="O700" s="170">
        <v>173</v>
      </c>
      <c r="P700" s="170">
        <v>0</v>
      </c>
      <c r="Q700" s="211">
        <v>0</v>
      </c>
      <c r="R700" s="170">
        <v>0.48</v>
      </c>
      <c r="S700" s="207">
        <f>ROUND((K700*H700+1.3*K700*J700+R700*G700),4)</f>
        <v>860.57249999999999</v>
      </c>
      <c r="T700" s="207">
        <f>ROUND((L700*H700+1.3*L700*J700+R700*G700),4)</f>
        <v>860.57249999999999</v>
      </c>
      <c r="U700" s="207">
        <f>ROUND((L700*H700+1.3*L700*J700+R700*G700),4)</f>
        <v>860.57249999999999</v>
      </c>
      <c r="V700" s="207">
        <f>ROUND((K700*I700+1.3*K700*M700+R700*F700),4)</f>
        <v>69.569999999999993</v>
      </c>
      <c r="W700" s="207">
        <f>ROUND((L700*I700+1.3*L700*M700+R700*F700),4)</f>
        <v>69.569999999999993</v>
      </c>
      <c r="X700" s="207">
        <f>ROUND((L700*I700+1.3*L700*M700+R700*F700),4)</f>
        <v>69.569999999999993</v>
      </c>
      <c r="Y700" s="385">
        <f>ROUND((O700*S700*E700*N700/1000000),4)</f>
        <v>0.1489</v>
      </c>
      <c r="Z700" s="385">
        <f>ROUND((P700*T700*E700*N700/1000000),4)</f>
        <v>0</v>
      </c>
      <c r="AA700" s="385">
        <f>ROUND((Q700*U700*E700*N700/1000000),4)</f>
        <v>0</v>
      </c>
      <c r="AB700" s="931" t="s">
        <v>48</v>
      </c>
      <c r="AC700" s="932" t="s">
        <v>49</v>
      </c>
      <c r="AD700" s="933">
        <f>ROUND((((W700*D700)/1800)*0.8),4)</f>
        <v>3.09E-2</v>
      </c>
      <c r="AE700" s="933">
        <f>ROUND(((Y700+Z700+AA700)*0.8),4)</f>
        <v>0.1191</v>
      </c>
      <c r="AF700" s="61"/>
      <c r="AG700" s="61"/>
      <c r="AH700" s="61"/>
      <c r="AI700" s="61"/>
    </row>
    <row r="701" spans="1:35" s="417" customFormat="1" ht="15" customHeight="1" x14ac:dyDescent="0.2">
      <c r="A701" s="552" t="s">
        <v>166</v>
      </c>
      <c r="B701" s="399" t="s">
        <v>359</v>
      </c>
      <c r="C701" s="387"/>
      <c r="D701" s="209"/>
      <c r="E701" s="209"/>
      <c r="F701" s="209"/>
      <c r="G701" s="209"/>
      <c r="H701" s="209"/>
      <c r="I701" s="209"/>
      <c r="J701" s="209"/>
      <c r="K701" s="209"/>
      <c r="L701" s="209"/>
      <c r="M701" s="209"/>
      <c r="N701" s="209"/>
      <c r="O701" s="209"/>
      <c r="P701" s="209"/>
      <c r="Q701" s="209"/>
      <c r="R701" s="388"/>
      <c r="S701" s="215"/>
      <c r="T701" s="215"/>
      <c r="U701" s="215"/>
      <c r="V701" s="215"/>
      <c r="W701" s="215"/>
      <c r="X701" s="215"/>
      <c r="Y701" s="215"/>
      <c r="Z701" s="215"/>
      <c r="AA701" s="215"/>
      <c r="AB701" s="931" t="s">
        <v>51</v>
      </c>
      <c r="AC701" s="932" t="s">
        <v>52</v>
      </c>
      <c r="AD701" s="933">
        <f>ROUND((((W700*D700)/1800)*0.13),4)</f>
        <v>5.0000000000000001E-3</v>
      </c>
      <c r="AE701" s="933">
        <f>ROUND(((Y700+Z700+AA700)*0.13),4)</f>
        <v>1.9400000000000001E-2</v>
      </c>
      <c r="AF701" s="61"/>
      <c r="AG701" s="61"/>
      <c r="AH701" s="61"/>
      <c r="AI701" s="61"/>
    </row>
    <row r="702" spans="1:35" s="417" customFormat="1" ht="15" customHeight="1" x14ac:dyDescent="0.2">
      <c r="A702" s="558"/>
      <c r="B702" s="387" t="s">
        <v>360</v>
      </c>
      <c r="C702" s="389"/>
      <c r="D702" s="209"/>
      <c r="E702" s="209"/>
      <c r="F702" s="209"/>
      <c r="G702" s="209"/>
      <c r="H702" s="209"/>
      <c r="I702" s="209"/>
      <c r="J702" s="209"/>
      <c r="K702" s="209">
        <v>0.19</v>
      </c>
      <c r="L702" s="209">
        <v>0.23</v>
      </c>
      <c r="M702" s="209"/>
      <c r="N702" s="209"/>
      <c r="O702" s="209"/>
      <c r="P702" s="209"/>
      <c r="Q702" s="209"/>
      <c r="R702" s="133">
        <v>9.7000000000000003E-2</v>
      </c>
      <c r="S702" s="207">
        <f>ROUND((K702*H700+1.3*K702*J700+R702*G700),4)</f>
        <v>69.802499999999995</v>
      </c>
      <c r="T702" s="207">
        <f>ROUND((L702*0.9*H700+1.3*L702*0.9*J700+R702*G700),4)</f>
        <v>75.527299999999997</v>
      </c>
      <c r="U702" s="207">
        <f>ROUND((L702*H700+1.3*L702*J700+R702*G700),4)</f>
        <v>83.272499999999994</v>
      </c>
      <c r="V702" s="207">
        <f>ROUND((K702*I700+1.3*K702*M700+R702*F700),4)</f>
        <v>5.7119999999999997</v>
      </c>
      <c r="W702" s="207">
        <f>ROUND((L702*0.9*I700+1.3*L702*0.9*M700+R702*F700),4)</f>
        <v>6.1710000000000003</v>
      </c>
      <c r="X702" s="207">
        <f>ROUND((L702*I700+1.3*L702*M700+R702*F700),4)</f>
        <v>6.7919999999999998</v>
      </c>
      <c r="Y702" s="385">
        <f>ROUND((O700*S702*E700*N700/1000000),4)</f>
        <v>1.21E-2</v>
      </c>
      <c r="Z702" s="385">
        <f>ROUND((P700*T702*E700*N700/1000000),4)</f>
        <v>0</v>
      </c>
      <c r="AA702" s="385">
        <f>ROUND((Q700*U702*E700*N700/1000000),4)</f>
        <v>0</v>
      </c>
      <c r="AB702" s="931" t="s">
        <v>56</v>
      </c>
      <c r="AC702" s="932" t="s">
        <v>57</v>
      </c>
      <c r="AD702" s="933">
        <f>ROUND((((W702*D700)/1800)),4)</f>
        <v>3.3999999999999998E-3</v>
      </c>
      <c r="AE702" s="933">
        <f>ROUND(((Y702+Z702+AA702)),5)</f>
        <v>1.21E-2</v>
      </c>
      <c r="AF702" s="61"/>
      <c r="AG702" s="61"/>
      <c r="AH702" s="61"/>
      <c r="AI702" s="61"/>
    </row>
    <row r="703" spans="1:35" s="417" customFormat="1" ht="15" customHeight="1" x14ac:dyDescent="0.2">
      <c r="A703" s="558"/>
      <c r="B703" s="387"/>
      <c r="C703" s="387"/>
      <c r="D703" s="209"/>
      <c r="E703" s="209"/>
      <c r="F703" s="209"/>
      <c r="G703" s="209"/>
      <c r="H703" s="209"/>
      <c r="I703" s="209"/>
      <c r="J703" s="209"/>
      <c r="K703" s="209">
        <v>0.43</v>
      </c>
      <c r="L703" s="209">
        <v>0.51</v>
      </c>
      <c r="M703" s="209"/>
      <c r="N703" s="209"/>
      <c r="O703" s="209"/>
      <c r="P703" s="209"/>
      <c r="Q703" s="209"/>
      <c r="R703" s="133">
        <v>0.3</v>
      </c>
      <c r="S703" s="207">
        <f>ROUND((K703*H700+1.3*K703*J700+R703*G700),4)</f>
        <v>162.80250000000001</v>
      </c>
      <c r="T703" s="207">
        <f>ROUND((L703*0.9*H700+1.3*L703*0.9*J700+R703*G700),4)</f>
        <v>172.56829999999999</v>
      </c>
      <c r="U703" s="207">
        <f>ROUND((L703*H700+1.3*L703*J700+R703*G700),4)</f>
        <v>189.74250000000001</v>
      </c>
      <c r="V703" s="207">
        <f>ROUND((K703*I700+1.3*K703*M700+R703*F700),4)</f>
        <v>13.41</v>
      </c>
      <c r="W703" s="207">
        <f>ROUND((L703*0.9*I700+1.3*L703*0.9*M700+R703*F700),4)</f>
        <v>14.193</v>
      </c>
      <c r="X703" s="207">
        <f>ROUND((L703*I700+1.3*M700+R703*F700),4)</f>
        <v>21.94</v>
      </c>
      <c r="Y703" s="385">
        <f>ROUND((O700*S703*E700*N700/1000000),4)</f>
        <v>2.8199999999999999E-2</v>
      </c>
      <c r="Z703" s="385">
        <f>ROUND((P700*T703*E700*N700/1000000),4)</f>
        <v>0</v>
      </c>
      <c r="AA703" s="385">
        <f>ROUND((Q700*U703*E700*N700/1000000),4)</f>
        <v>0</v>
      </c>
      <c r="AB703" s="931" t="s">
        <v>177</v>
      </c>
      <c r="AC703" s="932" t="s">
        <v>178</v>
      </c>
      <c r="AD703" s="933">
        <f>ROUND((((W703*D700)/1800)),4)</f>
        <v>7.9000000000000008E-3</v>
      </c>
      <c r="AE703" s="933">
        <f>ROUND(((Y703+Z703+AA703)),4)</f>
        <v>2.8199999999999999E-2</v>
      </c>
      <c r="AF703" s="61"/>
      <c r="AG703" s="61"/>
      <c r="AH703" s="61"/>
      <c r="AI703" s="61"/>
    </row>
    <row r="704" spans="1:35" s="417" customFormat="1" ht="15" customHeight="1" x14ac:dyDescent="0.2">
      <c r="A704" s="558"/>
      <c r="B704" s="387"/>
      <c r="C704" s="387"/>
      <c r="D704" s="209"/>
      <c r="E704" s="209"/>
      <c r="F704" s="209"/>
      <c r="G704" s="209"/>
      <c r="H704" s="209"/>
      <c r="I704" s="209"/>
      <c r="J704" s="209"/>
      <c r="K704" s="209">
        <v>0.27</v>
      </c>
      <c r="L704" s="209">
        <v>0.41</v>
      </c>
      <c r="M704" s="209"/>
      <c r="N704" s="209"/>
      <c r="O704" s="209"/>
      <c r="P704" s="209"/>
      <c r="Q704" s="209"/>
      <c r="R704" s="133">
        <v>0.06</v>
      </c>
      <c r="S704" s="207">
        <f>ROUND((K704*H700+1.3*K704*J700+R704*G700),4)</f>
        <v>94.522499999999994</v>
      </c>
      <c r="T704" s="207">
        <f>ROUND((L704*0.9*H700+1.3*L704*0.9*J700+R704*G700),4)</f>
        <v>127.8608</v>
      </c>
      <c r="U704" s="207">
        <f>ROUND((L704*H700+1.3*L704*J700+R704*G700),4)</f>
        <v>141.66749999999999</v>
      </c>
      <c r="V704" s="207">
        <f>ROUND((K704*I700+1.3*K704*M700+R704*F700),4)</f>
        <v>7.65</v>
      </c>
      <c r="W704" s="207">
        <f>ROUND((L704*0.9*I700+1.3*L704*0.9*M700+R704*F700),4)</f>
        <v>10.323</v>
      </c>
      <c r="X704" s="207">
        <f>ROUND((L704*I700+1.3*L704*M700+R704*F700),4)</f>
        <v>11.43</v>
      </c>
      <c r="Y704" s="385">
        <f>ROUND((O700*S704*E700*N700/1000000),4)</f>
        <v>1.6400000000000001E-2</v>
      </c>
      <c r="Z704" s="385">
        <f>ROUND((P700*T704*E700*N700/1000000),4)</f>
        <v>0</v>
      </c>
      <c r="AA704" s="385">
        <f>ROUND((Q700*U704*E700*N700/1000000),4)</f>
        <v>0</v>
      </c>
      <c r="AB704" s="931" t="s">
        <v>61</v>
      </c>
      <c r="AC704" s="932" t="s">
        <v>62</v>
      </c>
      <c r="AD704" s="933">
        <f>ROUND((((W704*D700)/1800)),4)</f>
        <v>5.7000000000000002E-3</v>
      </c>
      <c r="AE704" s="933">
        <f>ROUND(((Y704+Z704+AA704)),4)</f>
        <v>1.6400000000000001E-2</v>
      </c>
      <c r="AF704" s="61"/>
      <c r="AG704" s="61"/>
      <c r="AH704" s="61"/>
      <c r="AI704" s="61"/>
    </row>
    <row r="705" spans="1:35" s="417" customFormat="1" ht="15" customHeight="1" x14ac:dyDescent="0.2">
      <c r="A705" s="563"/>
      <c r="B705" s="214"/>
      <c r="C705" s="214"/>
      <c r="D705" s="210"/>
      <c r="E705" s="210"/>
      <c r="F705" s="210"/>
      <c r="G705" s="210"/>
      <c r="H705" s="210"/>
      <c r="I705" s="210"/>
      <c r="J705" s="210"/>
      <c r="K705" s="210">
        <v>1.29</v>
      </c>
      <c r="L705" s="210">
        <v>1.57</v>
      </c>
      <c r="M705" s="210"/>
      <c r="N705" s="210"/>
      <c r="O705" s="210"/>
      <c r="P705" s="210"/>
      <c r="Q705" s="210"/>
      <c r="R705" s="133">
        <v>2.4</v>
      </c>
      <c r="S705" s="134">
        <f>ROUND((K705*H700+1.3*K705*J700+R705*G700),4)</f>
        <v>578.40750000000003</v>
      </c>
      <c r="T705" s="134">
        <f>ROUND((L705*0.9*H700+1.3*L705*0.9*J700+R705*G700),4)</f>
        <v>619.82780000000002</v>
      </c>
      <c r="U705" s="134">
        <f>ROUND((L705*H700+1.3*L705*J700+R705*G700),4)</f>
        <v>672.69749999999999</v>
      </c>
      <c r="V705" s="134">
        <f>ROUND((K705*I700+1.3*K705*M700+R705*F700),4)</f>
        <v>49.23</v>
      </c>
      <c r="W705" s="134">
        <f>ROUND((L705*0.9*I700+1.3*L705*0.9*M700+R705*F700),4)</f>
        <v>52.551000000000002</v>
      </c>
      <c r="X705" s="134">
        <f>ROUND((L705*I700+1.3*L705*M700+R705*F700),4)</f>
        <v>56.79</v>
      </c>
      <c r="Y705" s="394">
        <f>ROUND((O700*S705*E700*N700/1000000),4)</f>
        <v>0.10009999999999999</v>
      </c>
      <c r="Z705" s="394">
        <f>ROUND((P700*T705*E700*N700/1000000),4)</f>
        <v>0</v>
      </c>
      <c r="AA705" s="394">
        <f>ROUND((Q700*U705*E700*N700/1000000),4)</f>
        <v>0</v>
      </c>
      <c r="AB705" s="931" t="s">
        <v>65</v>
      </c>
      <c r="AC705" s="932" t="s">
        <v>66</v>
      </c>
      <c r="AD705" s="933">
        <f>ROUND((((W705*D700)/1800)),4)</f>
        <v>2.92E-2</v>
      </c>
      <c r="AE705" s="933">
        <f>ROUND(((Y705+Z705+AA705)),4)</f>
        <v>0.10009999999999999</v>
      </c>
      <c r="AF705" s="61">
        <f>SUM(AD700:AD705)</f>
        <v>8.2100000000000006E-2</v>
      </c>
      <c r="AG705" s="61">
        <f>SUM(AE700:AE705)</f>
        <v>0.29530000000000001</v>
      </c>
      <c r="AH705" s="61"/>
      <c r="AI705" s="61"/>
    </row>
    <row r="706" spans="1:35" s="417" customFormat="1" ht="15" customHeight="1" x14ac:dyDescent="0.2">
      <c r="A706" s="1449" t="s">
        <v>719</v>
      </c>
      <c r="B706" s="1450"/>
      <c r="C706" s="1451"/>
      <c r="D706" s="1451"/>
      <c r="E706" s="1451"/>
      <c r="F706" s="1451"/>
      <c r="G706" s="1451"/>
      <c r="H706" s="1451"/>
      <c r="I706" s="1451"/>
      <c r="J706" s="1451"/>
      <c r="K706" s="1451"/>
      <c r="L706" s="1451"/>
      <c r="M706" s="1451"/>
      <c r="N706" s="1451"/>
      <c r="O706" s="1451"/>
      <c r="P706" s="1451"/>
      <c r="Q706" s="1451"/>
      <c r="R706" s="1451"/>
      <c r="S706" s="1451"/>
      <c r="T706" s="1451"/>
      <c r="U706" s="1451"/>
      <c r="V706" s="1451"/>
      <c r="W706" s="1451"/>
      <c r="X706" s="1451"/>
      <c r="Y706" s="1451"/>
      <c r="Z706" s="1451"/>
      <c r="AA706" s="1451"/>
      <c r="AB706" s="1451"/>
      <c r="AC706" s="1451"/>
      <c r="AD706" s="1451"/>
      <c r="AE706" s="1452"/>
      <c r="AF706" s="61"/>
      <c r="AG706" s="61"/>
      <c r="AH706" s="61"/>
      <c r="AI706" s="61"/>
    </row>
    <row r="707" spans="1:35" s="417" customFormat="1" ht="15" customHeight="1" x14ac:dyDescent="0.2">
      <c r="A707" s="551" t="s">
        <v>1024</v>
      </c>
      <c r="B707" s="398" t="s">
        <v>343</v>
      </c>
      <c r="C707" s="212">
        <v>4</v>
      </c>
      <c r="D707" s="170">
        <v>1</v>
      </c>
      <c r="E707" s="170">
        <v>1</v>
      </c>
      <c r="F707" s="170">
        <v>6</v>
      </c>
      <c r="G707" s="170">
        <v>60</v>
      </c>
      <c r="H707" s="170">
        <f>(8-1-0.75*2)*60*E707-J707-8*0.12*60</f>
        <v>57.900000000000006</v>
      </c>
      <c r="I707" s="170">
        <v>14</v>
      </c>
      <c r="J707" s="170">
        <f>(8-1-0.75*2)*0.65*60*E707</f>
        <v>214.5</v>
      </c>
      <c r="K707" s="170">
        <v>2.4700000000000002</v>
      </c>
      <c r="L707" s="170">
        <v>2.4700000000000002</v>
      </c>
      <c r="M707" s="170">
        <v>10</v>
      </c>
      <c r="N707" s="170">
        <f>D707/E707</f>
        <v>1</v>
      </c>
      <c r="O707" s="170">
        <v>173</v>
      </c>
      <c r="P707" s="170">
        <v>0</v>
      </c>
      <c r="Q707" s="211">
        <v>0</v>
      </c>
      <c r="R707" s="170">
        <v>0.48</v>
      </c>
      <c r="S707" s="207">
        <f>ROUND((K707*H707+1.3*K707*J707+R707*G707),4)</f>
        <v>860.57249999999999</v>
      </c>
      <c r="T707" s="207">
        <f>ROUND((L707*H707+1.3*L707*J707+R707*G707),4)</f>
        <v>860.57249999999999</v>
      </c>
      <c r="U707" s="207">
        <f>ROUND((L707*H707+1.3*L707*J707+R707*G707),4)</f>
        <v>860.57249999999999</v>
      </c>
      <c r="V707" s="207">
        <f>ROUND((K707*I707+1.3*K707*M707+R707*F707),4)</f>
        <v>69.569999999999993</v>
      </c>
      <c r="W707" s="207">
        <f>ROUND((L707*I707+1.3*L707*M707+R707*F707),4)</f>
        <v>69.569999999999993</v>
      </c>
      <c r="X707" s="207">
        <f>ROUND((L707*I707+1.3*L707*M707+R707*F707),4)</f>
        <v>69.569999999999993</v>
      </c>
      <c r="Y707" s="385">
        <f>ROUND((O707*S707*E707*N707/1000000),4)</f>
        <v>0.1489</v>
      </c>
      <c r="Z707" s="385">
        <f>ROUND((P707*T707*E707*N707/1000000),4)</f>
        <v>0</v>
      </c>
      <c r="AA707" s="385">
        <f>ROUND((Q707*U707*E707*N707/1000000),4)</f>
        <v>0</v>
      </c>
      <c r="AB707" s="931" t="s">
        <v>48</v>
      </c>
      <c r="AC707" s="932" t="s">
        <v>49</v>
      </c>
      <c r="AD707" s="933">
        <f>ROUND((((W707*D707)/1800)*0.8),4)</f>
        <v>3.09E-2</v>
      </c>
      <c r="AE707" s="933">
        <f>ROUND(((Y707+Z707+AA707)*0.8),4)</f>
        <v>0.1191</v>
      </c>
      <c r="AF707" s="61"/>
      <c r="AG707" s="61"/>
      <c r="AH707" s="61"/>
      <c r="AI707" s="61"/>
    </row>
    <row r="708" spans="1:35" s="417" customFormat="1" ht="15" customHeight="1" x14ac:dyDescent="0.2">
      <c r="A708" s="552" t="s">
        <v>166</v>
      </c>
      <c r="B708" s="399" t="s">
        <v>359</v>
      </c>
      <c r="C708" s="387"/>
      <c r="D708" s="209"/>
      <c r="E708" s="209"/>
      <c r="F708" s="209"/>
      <c r="G708" s="209"/>
      <c r="H708" s="209"/>
      <c r="I708" s="209"/>
      <c r="J708" s="209"/>
      <c r="K708" s="209"/>
      <c r="L708" s="209"/>
      <c r="M708" s="209"/>
      <c r="N708" s="209"/>
      <c r="O708" s="209"/>
      <c r="P708" s="209"/>
      <c r="Q708" s="209"/>
      <c r="R708" s="388"/>
      <c r="S708" s="215"/>
      <c r="T708" s="215"/>
      <c r="U708" s="215"/>
      <c r="V708" s="215"/>
      <c r="W708" s="215"/>
      <c r="X708" s="215"/>
      <c r="Y708" s="215"/>
      <c r="Z708" s="215"/>
      <c r="AA708" s="215"/>
      <c r="AB708" s="931" t="s">
        <v>51</v>
      </c>
      <c r="AC708" s="932" t="s">
        <v>52</v>
      </c>
      <c r="AD708" s="933">
        <f>ROUND((((W707*D707)/1800)*0.13),4)</f>
        <v>5.0000000000000001E-3</v>
      </c>
      <c r="AE708" s="933">
        <f>ROUND(((Y707+Z707+AA707)*0.13),4)</f>
        <v>1.9400000000000001E-2</v>
      </c>
      <c r="AF708" s="61"/>
      <c r="AG708" s="61"/>
      <c r="AH708" s="61"/>
      <c r="AI708" s="61"/>
    </row>
    <row r="709" spans="1:35" s="417" customFormat="1" ht="15" customHeight="1" x14ac:dyDescent="0.2">
      <c r="A709" s="558"/>
      <c r="B709" s="387" t="s">
        <v>360</v>
      </c>
      <c r="C709" s="389"/>
      <c r="D709" s="209"/>
      <c r="E709" s="209"/>
      <c r="F709" s="209"/>
      <c r="G709" s="209"/>
      <c r="H709" s="209"/>
      <c r="I709" s="209"/>
      <c r="J709" s="209"/>
      <c r="K709" s="209">
        <v>0.19</v>
      </c>
      <c r="L709" s="209">
        <v>0.23</v>
      </c>
      <c r="M709" s="209"/>
      <c r="N709" s="209"/>
      <c r="O709" s="209"/>
      <c r="P709" s="209"/>
      <c r="Q709" s="209"/>
      <c r="R709" s="133">
        <v>9.7000000000000003E-2</v>
      </c>
      <c r="S709" s="207">
        <f>ROUND((K709*H707+1.3*K709*J707+R709*G707),4)</f>
        <v>69.802499999999995</v>
      </c>
      <c r="T709" s="207">
        <f>ROUND((L709*0.9*H707+1.3*L709*0.9*J707+R709*G707),4)</f>
        <v>75.527299999999997</v>
      </c>
      <c r="U709" s="207">
        <f>ROUND((L709*H707+1.3*L709*J707+R709*G707),4)</f>
        <v>83.272499999999994</v>
      </c>
      <c r="V709" s="207">
        <f>ROUND((K709*I707+1.3*K709*M707+R709*F707),4)</f>
        <v>5.7119999999999997</v>
      </c>
      <c r="W709" s="207">
        <f>ROUND((L709*0.9*I707+1.3*L709*0.9*M707+R709*F707),4)</f>
        <v>6.1710000000000003</v>
      </c>
      <c r="X709" s="207">
        <f>ROUND((L709*I707+1.3*L709*M707+R709*F707),4)</f>
        <v>6.7919999999999998</v>
      </c>
      <c r="Y709" s="385">
        <f>ROUND((O707*S709*E707*N707/1000000),4)</f>
        <v>1.21E-2</v>
      </c>
      <c r="Z709" s="385">
        <f>ROUND((P707*T709*E707*N707/1000000),4)</f>
        <v>0</v>
      </c>
      <c r="AA709" s="385">
        <f>ROUND((Q707*U709*E707*N707/1000000),4)</f>
        <v>0</v>
      </c>
      <c r="AB709" s="931" t="s">
        <v>56</v>
      </c>
      <c r="AC709" s="932" t="s">
        <v>57</v>
      </c>
      <c r="AD709" s="933">
        <f>ROUND((((W709*D707)/1800)),4)</f>
        <v>3.3999999999999998E-3</v>
      </c>
      <c r="AE709" s="933">
        <f>ROUND(((Y709+Z709+AA709)),5)</f>
        <v>1.21E-2</v>
      </c>
      <c r="AF709" s="61"/>
      <c r="AG709" s="61"/>
      <c r="AH709" s="61"/>
      <c r="AI709" s="61"/>
    </row>
    <row r="710" spans="1:35" s="417" customFormat="1" ht="15" customHeight="1" x14ac:dyDescent="0.2">
      <c r="A710" s="558"/>
      <c r="B710" s="387"/>
      <c r="C710" s="387"/>
      <c r="D710" s="209"/>
      <c r="E710" s="209"/>
      <c r="F710" s="209"/>
      <c r="G710" s="209"/>
      <c r="H710" s="209"/>
      <c r="I710" s="209"/>
      <c r="J710" s="209"/>
      <c r="K710" s="209">
        <v>0.43</v>
      </c>
      <c r="L710" s="209">
        <v>0.51</v>
      </c>
      <c r="M710" s="209"/>
      <c r="N710" s="209"/>
      <c r="O710" s="209"/>
      <c r="P710" s="209"/>
      <c r="Q710" s="209"/>
      <c r="R710" s="133">
        <v>0.3</v>
      </c>
      <c r="S710" s="207">
        <f>ROUND((K710*H707+1.3*K710*J707+R710*G707),4)</f>
        <v>162.80250000000001</v>
      </c>
      <c r="T710" s="207">
        <f>ROUND((L710*0.9*H707+1.3*L710*0.9*J707+R710*G707),4)</f>
        <v>172.56829999999999</v>
      </c>
      <c r="U710" s="207">
        <f>ROUND((L710*H707+1.3*L710*J707+R710*G707),4)</f>
        <v>189.74250000000001</v>
      </c>
      <c r="V710" s="207">
        <f>ROUND((K710*I707+1.3*K710*M707+R710*F707),4)</f>
        <v>13.41</v>
      </c>
      <c r="W710" s="207">
        <f>ROUND((L710*0.9*I707+1.3*L710*0.9*M707+R710*F707),4)</f>
        <v>14.193</v>
      </c>
      <c r="X710" s="207">
        <f>ROUND((L710*I707+1.3*M707+R710*F707),4)</f>
        <v>21.94</v>
      </c>
      <c r="Y710" s="385">
        <f>ROUND((O707*S710*E707*N707/1000000),4)</f>
        <v>2.8199999999999999E-2</v>
      </c>
      <c r="Z710" s="385">
        <f>ROUND((P707*T710*E707*N707/1000000),4)</f>
        <v>0</v>
      </c>
      <c r="AA710" s="385">
        <f>ROUND((Q707*U710*E707*N707/1000000),4)</f>
        <v>0</v>
      </c>
      <c r="AB710" s="931" t="s">
        <v>177</v>
      </c>
      <c r="AC710" s="932" t="s">
        <v>178</v>
      </c>
      <c r="AD710" s="933">
        <f>ROUND((((W710*D707)/1800)),4)</f>
        <v>7.9000000000000008E-3</v>
      </c>
      <c r="AE710" s="933">
        <f>ROUND(((Y710+Z710+AA710)),4)</f>
        <v>2.8199999999999999E-2</v>
      </c>
      <c r="AF710" s="61"/>
      <c r="AG710" s="61"/>
      <c r="AH710" s="61"/>
      <c r="AI710" s="61"/>
    </row>
    <row r="711" spans="1:35" s="417" customFormat="1" ht="15" customHeight="1" x14ac:dyDescent="0.2">
      <c r="A711" s="558"/>
      <c r="B711" s="387"/>
      <c r="C711" s="387"/>
      <c r="D711" s="209"/>
      <c r="E711" s="209"/>
      <c r="F711" s="209"/>
      <c r="G711" s="209"/>
      <c r="H711" s="209"/>
      <c r="I711" s="209"/>
      <c r="J711" s="209"/>
      <c r="K711" s="209">
        <v>0.27</v>
      </c>
      <c r="L711" s="209">
        <v>0.41</v>
      </c>
      <c r="M711" s="209"/>
      <c r="N711" s="209"/>
      <c r="O711" s="209"/>
      <c r="P711" s="209"/>
      <c r="Q711" s="209"/>
      <c r="R711" s="133">
        <v>0.06</v>
      </c>
      <c r="S711" s="207">
        <f>ROUND((K711*H707+1.3*K711*J707+R711*G707),4)</f>
        <v>94.522499999999994</v>
      </c>
      <c r="T711" s="207">
        <f>ROUND((L711*0.9*H707+1.3*L711*0.9*J707+R711*G707),4)</f>
        <v>127.8608</v>
      </c>
      <c r="U711" s="207">
        <f>ROUND((L711*H707+1.3*L711*J707+R711*G707),4)</f>
        <v>141.66749999999999</v>
      </c>
      <c r="V711" s="207">
        <f>ROUND((K711*I707+1.3*K711*M707+R711*F707),4)</f>
        <v>7.65</v>
      </c>
      <c r="W711" s="207">
        <f>ROUND((L711*0.9*I707+1.3*L711*0.9*M707+R711*F707),4)</f>
        <v>10.323</v>
      </c>
      <c r="X711" s="207">
        <f>ROUND((L711*I707+1.3*L711*M707+R711*F707),4)</f>
        <v>11.43</v>
      </c>
      <c r="Y711" s="385">
        <f>ROUND((O707*S711*E707*N707/1000000),4)</f>
        <v>1.6400000000000001E-2</v>
      </c>
      <c r="Z711" s="385">
        <f>ROUND((P707*T711*E707*N707/1000000),4)</f>
        <v>0</v>
      </c>
      <c r="AA711" s="385">
        <f>ROUND((Q707*U711*E707*N707/1000000),4)</f>
        <v>0</v>
      </c>
      <c r="AB711" s="931" t="s">
        <v>61</v>
      </c>
      <c r="AC711" s="932" t="s">
        <v>62</v>
      </c>
      <c r="AD711" s="933">
        <f>ROUND((((W711*D707)/1800)),4)</f>
        <v>5.7000000000000002E-3</v>
      </c>
      <c r="AE711" s="933">
        <f>ROUND(((Y711+Z711+AA711)),4)</f>
        <v>1.6400000000000001E-2</v>
      </c>
      <c r="AF711" s="61"/>
      <c r="AG711" s="61"/>
      <c r="AH711" s="61"/>
      <c r="AI711" s="61"/>
    </row>
    <row r="712" spans="1:35" s="417" customFormat="1" ht="15" customHeight="1" x14ac:dyDescent="0.2">
      <c r="A712" s="563"/>
      <c r="B712" s="214"/>
      <c r="C712" s="214"/>
      <c r="D712" s="210"/>
      <c r="E712" s="210"/>
      <c r="F712" s="210"/>
      <c r="G712" s="210"/>
      <c r="H712" s="210"/>
      <c r="I712" s="210"/>
      <c r="J712" s="210"/>
      <c r="K712" s="210">
        <v>1.29</v>
      </c>
      <c r="L712" s="210">
        <v>1.57</v>
      </c>
      <c r="M712" s="210"/>
      <c r="N712" s="210"/>
      <c r="O712" s="210"/>
      <c r="P712" s="210"/>
      <c r="Q712" s="210"/>
      <c r="R712" s="133">
        <v>2.4</v>
      </c>
      <c r="S712" s="134">
        <f>ROUND((K712*H707+1.3*K712*J707+R712*G707),4)</f>
        <v>578.40750000000003</v>
      </c>
      <c r="T712" s="134">
        <f>ROUND((L712*0.9*H707+1.3*L712*0.9*J707+R712*G707),4)</f>
        <v>619.82780000000002</v>
      </c>
      <c r="U712" s="134">
        <f>ROUND((L712*H707+1.3*L712*J707+R712*G707),4)</f>
        <v>672.69749999999999</v>
      </c>
      <c r="V712" s="134">
        <f>ROUND((K712*I707+1.3*K712*M707+R712*F707),4)</f>
        <v>49.23</v>
      </c>
      <c r="W712" s="134">
        <f>ROUND((L712*0.9*I707+1.3*L712*0.9*M707+R712*F707),4)</f>
        <v>52.551000000000002</v>
      </c>
      <c r="X712" s="134">
        <f>ROUND((L712*I707+1.3*L712*M707+R712*F707),4)</f>
        <v>56.79</v>
      </c>
      <c r="Y712" s="394">
        <f>ROUND((O707*S712*E707*N707/1000000),4)</f>
        <v>0.10009999999999999</v>
      </c>
      <c r="Z712" s="394">
        <f>ROUND((P707*T712*E707*N707/1000000),4)</f>
        <v>0</v>
      </c>
      <c r="AA712" s="394">
        <f>ROUND((Q707*U712*E707*N707/1000000),4)</f>
        <v>0</v>
      </c>
      <c r="AB712" s="931" t="s">
        <v>65</v>
      </c>
      <c r="AC712" s="932" t="s">
        <v>66</v>
      </c>
      <c r="AD712" s="933">
        <f>ROUND((((W712*D707)/1800)),4)</f>
        <v>2.92E-2</v>
      </c>
      <c r="AE712" s="933">
        <f>ROUND(((Y712+Z712+AA712)),4)</f>
        <v>0.10009999999999999</v>
      </c>
      <c r="AF712" s="61">
        <f>SUM(AD707:AD712)</f>
        <v>8.2100000000000006E-2</v>
      </c>
      <c r="AG712" s="61">
        <f>SUM(AE707:AE712)</f>
        <v>0.29530000000000001</v>
      </c>
      <c r="AH712" s="61"/>
      <c r="AI712" s="61"/>
    </row>
    <row r="713" spans="1:35" s="417" customFormat="1" ht="15" customHeight="1" x14ac:dyDescent="0.2">
      <c r="A713" s="1284" t="s">
        <v>1531</v>
      </c>
      <c r="B713" s="1437"/>
      <c r="C713" s="1438"/>
      <c r="D713" s="1438"/>
      <c r="E713" s="1438"/>
      <c r="F713" s="1438"/>
      <c r="G713" s="1438"/>
      <c r="H713" s="1438"/>
      <c r="I713" s="1438"/>
      <c r="J713" s="1438"/>
      <c r="K713" s="1438"/>
      <c r="L713" s="1438"/>
      <c r="M713" s="1438"/>
      <c r="N713" s="1438"/>
      <c r="O713" s="1438"/>
      <c r="P713" s="1438"/>
      <c r="Q713" s="1438"/>
      <c r="R713" s="1438"/>
      <c r="S713" s="1438"/>
      <c r="T713" s="1438"/>
      <c r="U713" s="1438"/>
      <c r="V713" s="1438"/>
      <c r="W713" s="1438"/>
      <c r="X713" s="1438"/>
      <c r="Y713" s="1438"/>
      <c r="Z713" s="1438"/>
      <c r="AA713" s="1438"/>
      <c r="AB713" s="1438"/>
      <c r="AC713" s="1438"/>
      <c r="AD713" s="1438"/>
      <c r="AE713" s="1439"/>
      <c r="AF713" s="61"/>
      <c r="AG713" s="61"/>
      <c r="AH713" s="61"/>
      <c r="AI713" s="61"/>
    </row>
    <row r="714" spans="1:35" s="417" customFormat="1" ht="15" customHeight="1" x14ac:dyDescent="0.2">
      <c r="A714" s="560" t="s">
        <v>767</v>
      </c>
      <c r="B714" s="402" t="s">
        <v>404</v>
      </c>
      <c r="C714" s="381">
        <v>6</v>
      </c>
      <c r="D714" s="381">
        <v>1</v>
      </c>
      <c r="E714" s="381">
        <v>1</v>
      </c>
      <c r="F714" s="381">
        <v>6</v>
      </c>
      <c r="G714" s="381">
        <v>60</v>
      </c>
      <c r="H714" s="381">
        <f>(8-1-0.75*2)*60*E714-J714-8*0.12*60</f>
        <v>57.900000000000006</v>
      </c>
      <c r="I714" s="381">
        <v>14</v>
      </c>
      <c r="J714" s="381">
        <f>(8-1-0.75*2)*0.65*60*E714</f>
        <v>214.5</v>
      </c>
      <c r="K714" s="208">
        <v>6.47</v>
      </c>
      <c r="L714" s="208">
        <v>6.47</v>
      </c>
      <c r="M714" s="381">
        <v>10</v>
      </c>
      <c r="N714" s="381">
        <f>D714/E714</f>
        <v>1</v>
      </c>
      <c r="O714" s="381">
        <v>180</v>
      </c>
      <c r="P714" s="381">
        <v>90</v>
      </c>
      <c r="Q714" s="403">
        <v>95</v>
      </c>
      <c r="R714" s="403">
        <v>1.27</v>
      </c>
      <c r="S714" s="208">
        <f>ROUND((K714*H714+1.3*K714*J714+R714*G714),4)</f>
        <v>2254.9724999999999</v>
      </c>
      <c r="T714" s="208">
        <f>ROUND((L714*H714+1.3*L714*J714+R714*G714),4)</f>
        <v>2254.9724999999999</v>
      </c>
      <c r="U714" s="208">
        <f>ROUND((L714*H714+1.3*L714*J714+R714*G714),4)</f>
        <v>2254.9724999999999</v>
      </c>
      <c r="V714" s="208">
        <f>ROUND((K714*I714+1.3*K714*M714+R714*F714),4)</f>
        <v>182.31</v>
      </c>
      <c r="W714" s="208">
        <f>ROUND((L714*I714+1.3*L714*M714+R714*F714),4)</f>
        <v>182.31</v>
      </c>
      <c r="X714" s="208">
        <f>ROUND((L714*I714+1.3*L714*M714+R714*F714),4)</f>
        <v>182.31</v>
      </c>
      <c r="Y714" s="404">
        <f>ROUND((O714*S714*E714*N714/1000000),4)</f>
        <v>0.40589999999999998</v>
      </c>
      <c r="Z714" s="404">
        <f>ROUND((P714*T714*E714*N714/1000000),4)</f>
        <v>0.2029</v>
      </c>
      <c r="AA714" s="404">
        <f>ROUND((Q714*U714*E714*N714/1000000),4)</f>
        <v>0.2142</v>
      </c>
      <c r="AB714" s="937" t="s">
        <v>48</v>
      </c>
      <c r="AC714" s="938" t="s">
        <v>49</v>
      </c>
      <c r="AD714" s="939">
        <f>ROUND((((W714*D714)/1800)*0.8),4)</f>
        <v>8.1000000000000003E-2</v>
      </c>
      <c r="AE714" s="939">
        <f>ROUND(((Y714+Z714+AA714)*0.8),4)</f>
        <v>0.65839999999999999</v>
      </c>
      <c r="AF714" s="61"/>
      <c r="AG714" s="61"/>
      <c r="AH714" s="61"/>
      <c r="AI714" s="61"/>
    </row>
    <row r="715" spans="1:35" s="417" customFormat="1" ht="15" customHeight="1" x14ac:dyDescent="0.2">
      <c r="A715" s="561" t="s">
        <v>166</v>
      </c>
      <c r="B715" s="405" t="s">
        <v>405</v>
      </c>
      <c r="C715" s="400"/>
      <c r="D715" s="400"/>
      <c r="E715" s="400"/>
      <c r="F715" s="400"/>
      <c r="G715" s="400"/>
      <c r="H715" s="400"/>
      <c r="I715" s="400"/>
      <c r="J715" s="400"/>
      <c r="K715" s="401"/>
      <c r="L715" s="401"/>
      <c r="M715" s="400"/>
      <c r="N715" s="400"/>
      <c r="O715" s="400"/>
      <c r="P715" s="400"/>
      <c r="Q715" s="400"/>
      <c r="R715" s="406"/>
      <c r="S715" s="407"/>
      <c r="T715" s="407"/>
      <c r="U715" s="407"/>
      <c r="V715" s="407"/>
      <c r="W715" s="407"/>
      <c r="X715" s="407"/>
      <c r="Y715" s="407"/>
      <c r="Z715" s="407"/>
      <c r="AA715" s="407"/>
      <c r="AB715" s="937" t="s">
        <v>51</v>
      </c>
      <c r="AC715" s="938" t="s">
        <v>52</v>
      </c>
      <c r="AD715" s="939">
        <f>ROUND((((W714*D714)/1800)*0.13),4)</f>
        <v>1.32E-2</v>
      </c>
      <c r="AE715" s="939">
        <f>ROUND(((Y714+Z714+AA714)*0.13),4)</f>
        <v>0.107</v>
      </c>
      <c r="AF715" s="61"/>
      <c r="AG715" s="61"/>
      <c r="AH715" s="61"/>
      <c r="AI715" s="61"/>
    </row>
    <row r="716" spans="1:35" s="417" customFormat="1" ht="15" customHeight="1" x14ac:dyDescent="0.2">
      <c r="A716" s="559"/>
      <c r="B716" s="400" t="s">
        <v>341</v>
      </c>
      <c r="C716" s="408"/>
      <c r="D716" s="400"/>
      <c r="E716" s="400"/>
      <c r="F716" s="400"/>
      <c r="G716" s="400"/>
      <c r="H716" s="400"/>
      <c r="I716" s="400"/>
      <c r="J716" s="400"/>
      <c r="K716" s="409">
        <v>0.51</v>
      </c>
      <c r="L716" s="409">
        <v>0.63</v>
      </c>
      <c r="M716" s="400"/>
      <c r="N716" s="400"/>
      <c r="O716" s="400"/>
      <c r="P716" s="400"/>
      <c r="Q716" s="400"/>
      <c r="R716" s="410">
        <v>0.25</v>
      </c>
      <c r="S716" s="208">
        <f>ROUND((K716*H714+1.3*K716*J714+R716*G714),4)</f>
        <v>186.74250000000001</v>
      </c>
      <c r="T716" s="208">
        <f>ROUND((L716*0.9*H714+1.3*L716*0.9*J714+R716*G714),4)</f>
        <v>205.93729999999999</v>
      </c>
      <c r="U716" s="208">
        <f>ROUND((L716*H714+1.3*L716*J714+R716*G714),4)</f>
        <v>227.1525</v>
      </c>
      <c r="V716" s="208">
        <f>ROUND((K716*I714+1.3*K716*M714+R716*F714),4)</f>
        <v>15.27</v>
      </c>
      <c r="W716" s="208">
        <f>ROUND((L716*0.9*I714+1.3*L716*0.9*M714+R716*F714),4)</f>
        <v>16.809000000000001</v>
      </c>
      <c r="X716" s="208">
        <f>ROUND((L716*I714+1.3*L716*M714+R716*F714),4)</f>
        <v>18.510000000000002</v>
      </c>
      <c r="Y716" s="404">
        <f>ROUND((O714*S716*E714*N714/1000000),4)</f>
        <v>3.3599999999999998E-2</v>
      </c>
      <c r="Z716" s="404">
        <f>ROUND((P714*T716*E714*N714/1000000),4)</f>
        <v>1.8499999999999999E-2</v>
      </c>
      <c r="AA716" s="404">
        <f>ROUND((Q714*U716*E714*N714/1000000),4)</f>
        <v>2.1600000000000001E-2</v>
      </c>
      <c r="AB716" s="937" t="s">
        <v>56</v>
      </c>
      <c r="AC716" s="938" t="s">
        <v>57</v>
      </c>
      <c r="AD716" s="939">
        <f>ROUND((((W716*D714)/1800)),4)</f>
        <v>9.2999999999999992E-3</v>
      </c>
      <c r="AE716" s="939">
        <f>ROUND(((Y716+Z716+AA716)),5)</f>
        <v>7.3700000000000002E-2</v>
      </c>
      <c r="AF716" s="61"/>
      <c r="AG716" s="61"/>
      <c r="AH716" s="61"/>
      <c r="AI716" s="61"/>
    </row>
    <row r="717" spans="1:35" s="417" customFormat="1" ht="15" customHeight="1" x14ac:dyDescent="0.2">
      <c r="A717" s="559"/>
      <c r="B717" s="411"/>
      <c r="C717" s="400"/>
      <c r="D717" s="400"/>
      <c r="E717" s="400"/>
      <c r="F717" s="400"/>
      <c r="G717" s="400"/>
      <c r="H717" s="400"/>
      <c r="I717" s="400"/>
      <c r="J717" s="400"/>
      <c r="K717" s="409">
        <v>1.1399999999999999</v>
      </c>
      <c r="L717" s="409">
        <v>1.37</v>
      </c>
      <c r="M717" s="400"/>
      <c r="N717" s="400"/>
      <c r="O717" s="400"/>
      <c r="P717" s="400"/>
      <c r="Q717" s="400"/>
      <c r="R717" s="412">
        <v>0.79</v>
      </c>
      <c r="S717" s="208">
        <f>ROUND((K717*H714+1.3*K717*J714+R717*G714),4)</f>
        <v>431.29500000000002</v>
      </c>
      <c r="T717" s="208">
        <f>ROUND((L717*0.9*H714+1.3*L717*0.9*J714+R717*G714),4)</f>
        <v>462.61279999999999</v>
      </c>
      <c r="U717" s="208">
        <f>ROUND((L717*H714+1.3*L717*J714+R717*G714),4)</f>
        <v>508.7475</v>
      </c>
      <c r="V717" s="208">
        <f>ROUND((K717*I714+1.3*K717*M714+R717*F714),4)</f>
        <v>35.520000000000003</v>
      </c>
      <c r="W717" s="208">
        <f>ROUND((L717*0.9*I714+1.3*L717*0.9*M714+R717*F714),4)</f>
        <v>38.030999999999999</v>
      </c>
      <c r="X717" s="208">
        <f>ROUND((L717*I714+1.3*M714+R717*F714),4)</f>
        <v>36.92</v>
      </c>
      <c r="Y717" s="404">
        <f>ROUND((O714*S717*E714*N714/1000000),4)</f>
        <v>7.7600000000000002E-2</v>
      </c>
      <c r="Z717" s="404">
        <f>ROUND((P714*T717*E714*N714/1000000),4)</f>
        <v>4.1599999999999998E-2</v>
      </c>
      <c r="AA717" s="404">
        <f>ROUND((Q714*U717*E714*N714/1000000),4)</f>
        <v>4.8300000000000003E-2</v>
      </c>
      <c r="AB717" s="937" t="s">
        <v>177</v>
      </c>
      <c r="AC717" s="938" t="s">
        <v>178</v>
      </c>
      <c r="AD717" s="939">
        <f>ROUND((((W717*D714)/1800)),4)</f>
        <v>2.1100000000000001E-2</v>
      </c>
      <c r="AE717" s="939">
        <f>ROUND(((Y717+Z717+AA717)),4)</f>
        <v>0.16750000000000001</v>
      </c>
      <c r="AF717" s="61"/>
      <c r="AG717" s="61"/>
      <c r="AH717" s="61"/>
      <c r="AI717" s="61"/>
    </row>
    <row r="718" spans="1:35" s="417" customFormat="1" ht="15" customHeight="1" x14ac:dyDescent="0.2">
      <c r="A718" s="559"/>
      <c r="B718" s="411"/>
      <c r="C718" s="400"/>
      <c r="D718" s="400"/>
      <c r="E718" s="400"/>
      <c r="F718" s="400"/>
      <c r="G718" s="400"/>
      <c r="H718" s="400"/>
      <c r="I718" s="400"/>
      <c r="J718" s="400"/>
      <c r="K718" s="409">
        <v>0.72</v>
      </c>
      <c r="L718" s="409">
        <v>1.08</v>
      </c>
      <c r="M718" s="400"/>
      <c r="N718" s="400"/>
      <c r="O718" s="400"/>
      <c r="P718" s="400"/>
      <c r="Q718" s="400"/>
      <c r="R718" s="412">
        <v>0.17</v>
      </c>
      <c r="S718" s="208">
        <f>ROUND((K718*H714+1.3*K718*J714+R718*G714),4)</f>
        <v>252.66</v>
      </c>
      <c r="T718" s="208">
        <f>ROUND((L718*0.9*H714+1.3*L718*0.9*J714+R718*G714),4)</f>
        <v>337.52100000000002</v>
      </c>
      <c r="U718" s="208">
        <f>ROUND((L718*H714+1.3*L718*J714+R718*G714),4)</f>
        <v>373.89</v>
      </c>
      <c r="V718" s="208">
        <f>ROUND((K718*I714+1.3*K718*M714+R718*F714),4)</f>
        <v>20.46</v>
      </c>
      <c r="W718" s="208">
        <f>ROUND((L718*0.9*I714+1.3*L718*0.9*M714+R718*F714),4)</f>
        <v>27.263999999999999</v>
      </c>
      <c r="X718" s="208">
        <f>ROUND((L718*I714+1.3*L718*M714+R718*F714),4)</f>
        <v>30.18</v>
      </c>
      <c r="Y718" s="404">
        <f>ROUND((O714*S718*E714*N714/1000000),4)</f>
        <v>4.5499999999999999E-2</v>
      </c>
      <c r="Z718" s="404">
        <f>ROUND((P714*T718*E714*N714/1000000),4)</f>
        <v>3.04E-2</v>
      </c>
      <c r="AA718" s="404">
        <f>ROUND((Q714*U718*E714*N714/1000000),4)</f>
        <v>3.5499999999999997E-2</v>
      </c>
      <c r="AB718" s="937" t="s">
        <v>61</v>
      </c>
      <c r="AC718" s="938" t="s">
        <v>62</v>
      </c>
      <c r="AD718" s="939">
        <f>ROUND((((W718*D714)/1800)),4)</f>
        <v>1.5100000000000001E-2</v>
      </c>
      <c r="AE718" s="939">
        <f>ROUND(((Y718+Z718+AA718)),4)</f>
        <v>0.1114</v>
      </c>
      <c r="AF718" s="61"/>
      <c r="AG718" s="61"/>
      <c r="AH718" s="61"/>
      <c r="AI718" s="61"/>
    </row>
    <row r="719" spans="1:35" s="417" customFormat="1" ht="15" customHeight="1" x14ac:dyDescent="0.2">
      <c r="A719" s="559"/>
      <c r="B719" s="406"/>
      <c r="C719" s="401"/>
      <c r="D719" s="401"/>
      <c r="E719" s="401"/>
      <c r="F719" s="401"/>
      <c r="G719" s="401"/>
      <c r="H719" s="401"/>
      <c r="I719" s="401"/>
      <c r="J719" s="401"/>
      <c r="K719" s="409">
        <v>3.37</v>
      </c>
      <c r="L719" s="409">
        <v>4.1100000000000003</v>
      </c>
      <c r="M719" s="401"/>
      <c r="N719" s="401"/>
      <c r="O719" s="401"/>
      <c r="P719" s="401"/>
      <c r="Q719" s="401"/>
      <c r="R719" s="412">
        <v>6.31</v>
      </c>
      <c r="S719" s="208">
        <f>ROUND((K719*H714+1.3*K719*J714+R719*G714),4)</f>
        <v>1513.4475</v>
      </c>
      <c r="T719" s="208">
        <f>ROUND((L719*0.9*H714+1.3*L719*0.9*J714+R719*G714),4)</f>
        <v>1624.2383</v>
      </c>
      <c r="U719" s="208">
        <f>ROUND((L719*H714+1.3*L719*J714+R719*G714),4)</f>
        <v>1762.6424999999999</v>
      </c>
      <c r="V719" s="208">
        <f>ROUND((K719*I714+1.3*K719*M714+R719*F714),4)</f>
        <v>128.85</v>
      </c>
      <c r="W719" s="208">
        <f>ROUND((L719*0.9*I714+1.3*L719*0.9*M714+R719*F714),4)</f>
        <v>137.733</v>
      </c>
      <c r="X719" s="208">
        <f>ROUND((L719*I714+1.3*L719*M714+R719*F714),4)</f>
        <v>148.83000000000001</v>
      </c>
      <c r="Y719" s="404">
        <f>ROUND((O714*S719*E714*N714/1000000),4)</f>
        <v>0.27239999999999998</v>
      </c>
      <c r="Z719" s="404">
        <f>ROUND((P714*T719*E714*N714/1000000),4)</f>
        <v>0.1462</v>
      </c>
      <c r="AA719" s="404">
        <f>ROUND((Q714*U719*E714*N714/1000000),4)</f>
        <v>0.16750000000000001</v>
      </c>
      <c r="AB719" s="937" t="s">
        <v>65</v>
      </c>
      <c r="AC719" s="938" t="s">
        <v>66</v>
      </c>
      <c r="AD719" s="939">
        <f>ROUND((((W719*D714)/1800)),4)</f>
        <v>7.6499999999999999E-2</v>
      </c>
      <c r="AE719" s="939">
        <f>ROUND(((Y719+Z719+AA719)),4)</f>
        <v>0.58609999999999995</v>
      </c>
      <c r="AF719" s="61"/>
      <c r="AG719" s="61"/>
      <c r="AH719" s="61"/>
      <c r="AI719" s="61"/>
    </row>
    <row r="720" spans="1:35" s="417" customFormat="1" ht="15" customHeight="1" x14ac:dyDescent="0.2">
      <c r="A720" s="559"/>
      <c r="B720" s="402" t="s">
        <v>406</v>
      </c>
      <c r="C720" s="413">
        <v>5</v>
      </c>
      <c r="D720" s="381">
        <v>1</v>
      </c>
      <c r="E720" s="381">
        <v>1</v>
      </c>
      <c r="F720" s="381">
        <v>6</v>
      </c>
      <c r="G720" s="381">
        <v>60</v>
      </c>
      <c r="H720" s="381">
        <f>(8-1-0.75*2)*60*E720-J720-8*0.12*60</f>
        <v>57.900000000000006</v>
      </c>
      <c r="I720" s="381">
        <v>14</v>
      </c>
      <c r="J720" s="381">
        <f>(8-1-0.75*2)*0.65*60*E720</f>
        <v>214.5</v>
      </c>
      <c r="K720" s="208">
        <v>4.01</v>
      </c>
      <c r="L720" s="208">
        <v>4.01</v>
      </c>
      <c r="M720" s="381">
        <v>10</v>
      </c>
      <c r="N720" s="381">
        <f>D720/E720</f>
        <v>1</v>
      </c>
      <c r="O720" s="381">
        <v>180</v>
      </c>
      <c r="P720" s="381">
        <v>90</v>
      </c>
      <c r="Q720" s="403">
        <v>95</v>
      </c>
      <c r="R720" s="403">
        <v>0.78</v>
      </c>
      <c r="S720" s="208">
        <f>ROUND((K720*H720+1.3*K720*J720+R720*G720),4)</f>
        <v>1397.1675</v>
      </c>
      <c r="T720" s="208">
        <f>ROUND((L720*H720+1.3*L720*J720+R720*G720),4)</f>
        <v>1397.1675</v>
      </c>
      <c r="U720" s="208">
        <f>ROUND((L720*H720+1.3*L720*J720+R720*G720),4)</f>
        <v>1397.1675</v>
      </c>
      <c r="V720" s="208">
        <f>ROUND((K720*I720+1.3*K720*M720+R720*F720),4)</f>
        <v>112.95</v>
      </c>
      <c r="W720" s="208">
        <f>ROUND((L720*I720+1.3*L720*M720+R720*F720),4)</f>
        <v>112.95</v>
      </c>
      <c r="X720" s="208">
        <f>ROUND((L720*I720+1.3*L720*M720+R720*F720),4)</f>
        <v>112.95</v>
      </c>
      <c r="Y720" s="404">
        <f>ROUND((O720*S720*E720*N720/1000000),4)</f>
        <v>0.2515</v>
      </c>
      <c r="Z720" s="404">
        <f>ROUND((P720*T720*E720*N720/1000000),4)</f>
        <v>0.12570000000000001</v>
      </c>
      <c r="AA720" s="404">
        <f>ROUND((Q720*U720*E720*N720/1000000),4)</f>
        <v>0.13270000000000001</v>
      </c>
      <c r="AB720" s="937" t="s">
        <v>48</v>
      </c>
      <c r="AC720" s="938" t="s">
        <v>49</v>
      </c>
      <c r="AD720" s="939">
        <f>ROUND((((W720*D720)/1800)*0.8),4)</f>
        <v>5.0200000000000002E-2</v>
      </c>
      <c r="AE720" s="939">
        <f>ROUND(((Y720+Z720+AA720)*0.8),4)</f>
        <v>0.40789999999999998</v>
      </c>
      <c r="AF720" s="61"/>
      <c r="AG720" s="61"/>
      <c r="AH720" s="61"/>
      <c r="AI720" s="61"/>
    </row>
    <row r="721" spans="1:35" s="417" customFormat="1" ht="15" customHeight="1" x14ac:dyDescent="0.2">
      <c r="A721" s="559"/>
      <c r="B721" s="405" t="s">
        <v>769</v>
      </c>
      <c r="C721" s="414"/>
      <c r="D721" s="400"/>
      <c r="E721" s="400"/>
      <c r="F721" s="400"/>
      <c r="G721" s="400"/>
      <c r="H721" s="400"/>
      <c r="I721" s="400"/>
      <c r="J721" s="400"/>
      <c r="K721" s="401"/>
      <c r="L721" s="401"/>
      <c r="M721" s="400"/>
      <c r="N721" s="400"/>
      <c r="O721" s="400"/>
      <c r="P721" s="400"/>
      <c r="Q721" s="400"/>
      <c r="R721" s="406"/>
      <c r="S721" s="407"/>
      <c r="T721" s="407"/>
      <c r="U721" s="407"/>
      <c r="V721" s="407"/>
      <c r="W721" s="407"/>
      <c r="X721" s="407"/>
      <c r="Y721" s="407"/>
      <c r="Z721" s="407"/>
      <c r="AA721" s="407"/>
      <c r="AB721" s="937" t="s">
        <v>51</v>
      </c>
      <c r="AC721" s="938" t="s">
        <v>52</v>
      </c>
      <c r="AD721" s="939">
        <f>ROUND((((W720*D720)/1800)*0.13),4)</f>
        <v>8.2000000000000007E-3</v>
      </c>
      <c r="AE721" s="939">
        <f>ROUND(((Y720+Z720+AA720)*0.13),4)</f>
        <v>6.6299999999999998E-2</v>
      </c>
      <c r="AF721" s="61"/>
      <c r="AG721" s="61"/>
      <c r="AH721" s="61"/>
      <c r="AI721" s="61"/>
    </row>
    <row r="722" spans="1:35" s="417" customFormat="1" ht="15" customHeight="1" x14ac:dyDescent="0.2">
      <c r="A722" s="559"/>
      <c r="B722" s="400" t="s">
        <v>770</v>
      </c>
      <c r="C722" s="415"/>
      <c r="D722" s="400"/>
      <c r="E722" s="400"/>
      <c r="F722" s="400"/>
      <c r="G722" s="400"/>
      <c r="H722" s="400"/>
      <c r="I722" s="400"/>
      <c r="J722" s="400"/>
      <c r="K722" s="409">
        <v>0.31</v>
      </c>
      <c r="L722" s="409">
        <v>0.38</v>
      </c>
      <c r="M722" s="400"/>
      <c r="N722" s="400"/>
      <c r="O722" s="400"/>
      <c r="P722" s="400"/>
      <c r="Q722" s="400"/>
      <c r="R722" s="410">
        <v>0.16</v>
      </c>
      <c r="S722" s="208">
        <f>ROUND((K722*H720+1.3*K722*J720+R722*G720),4)</f>
        <v>113.99250000000001</v>
      </c>
      <c r="T722" s="208">
        <f>ROUND((L722*0.9*H720+1.3*L722*0.9*J720+R722*G720),4)</f>
        <v>124.7685</v>
      </c>
      <c r="U722" s="208">
        <f>ROUND((L722*H720+1.3*L722*J720+R722*G720),4)</f>
        <v>137.565</v>
      </c>
      <c r="V722" s="208">
        <f>ROUND((K722*I720+1.3*K722*M720+R722*F720),4)</f>
        <v>9.33</v>
      </c>
      <c r="W722" s="208">
        <f>ROUND((L722*0.9*I720+1.3*L722*0.9*M720+R722*F720),4)</f>
        <v>10.194000000000001</v>
      </c>
      <c r="X722" s="208">
        <f>ROUND((L722*I720+1.3*L722*M720+R722*F720),4)</f>
        <v>11.22</v>
      </c>
      <c r="Y722" s="404">
        <f>ROUND((O720*S722*E720*N720/1000000),4)</f>
        <v>2.0500000000000001E-2</v>
      </c>
      <c r="Z722" s="404">
        <f>ROUND((P720*T722*E720*N720/1000000),4)</f>
        <v>1.12E-2</v>
      </c>
      <c r="AA722" s="404">
        <f>ROUND((Q720*U722*E720*N720/1000000),4)</f>
        <v>1.3100000000000001E-2</v>
      </c>
      <c r="AB722" s="937" t="s">
        <v>56</v>
      </c>
      <c r="AC722" s="938" t="s">
        <v>57</v>
      </c>
      <c r="AD722" s="939">
        <f>ROUND((((W722*D720)/1800)),4)</f>
        <v>5.7000000000000002E-3</v>
      </c>
      <c r="AE722" s="939">
        <f>ROUND(((Y722+Z722+AA722)),5)</f>
        <v>4.48E-2</v>
      </c>
      <c r="AF722" s="61"/>
      <c r="AG722" s="61"/>
      <c r="AH722" s="61"/>
      <c r="AI722" s="61"/>
    </row>
    <row r="723" spans="1:35" s="417" customFormat="1" ht="15" customHeight="1" x14ac:dyDescent="0.2">
      <c r="A723" s="559"/>
      <c r="B723" s="400"/>
      <c r="C723" s="414"/>
      <c r="D723" s="400"/>
      <c r="E723" s="400"/>
      <c r="F723" s="400"/>
      <c r="G723" s="400"/>
      <c r="H723" s="400"/>
      <c r="I723" s="400"/>
      <c r="J723" s="400"/>
      <c r="K723" s="409">
        <v>0.71</v>
      </c>
      <c r="L723" s="409">
        <v>0.85</v>
      </c>
      <c r="M723" s="400"/>
      <c r="N723" s="400"/>
      <c r="O723" s="400"/>
      <c r="P723" s="400"/>
      <c r="Q723" s="400"/>
      <c r="R723" s="412">
        <v>0.49</v>
      </c>
      <c r="S723" s="208">
        <f>ROUND((K723*H720+1.3*K723*J720+R723*G720),4)</f>
        <v>268.49250000000001</v>
      </c>
      <c r="T723" s="208">
        <f>ROUND((L723*0.9*H720+1.3*L723*0.9*J720+R723*G720),4)</f>
        <v>287.0138</v>
      </c>
      <c r="U723" s="208">
        <f>ROUND((L723*H720+1.3*L723*J720+R723*G720),4)</f>
        <v>315.63749999999999</v>
      </c>
      <c r="V723" s="208">
        <f>ROUND((K723*I720+1.3*K723*M720+R723*F720),4)</f>
        <v>22.11</v>
      </c>
      <c r="W723" s="208">
        <f>ROUND((L723*0.9*I720+1.3*L723*0.9*M720+R723*F720),4)</f>
        <v>23.594999999999999</v>
      </c>
      <c r="X723" s="208">
        <f>ROUND((L723*I720+1.3*M720+R723*F720),4)</f>
        <v>27.84</v>
      </c>
      <c r="Y723" s="404">
        <f>ROUND((O720*S723*E720*N720/1000000),4)</f>
        <v>4.8300000000000003E-2</v>
      </c>
      <c r="Z723" s="404">
        <f>ROUND((P720*T723*E720*N720/1000000),4)</f>
        <v>2.58E-2</v>
      </c>
      <c r="AA723" s="404">
        <f>ROUND((Q720*U723*E720*N720/1000000),4)</f>
        <v>0.03</v>
      </c>
      <c r="AB723" s="937" t="s">
        <v>177</v>
      </c>
      <c r="AC723" s="938" t="s">
        <v>178</v>
      </c>
      <c r="AD723" s="939">
        <f>ROUND((((W723*D720)/1800)),4)</f>
        <v>1.3100000000000001E-2</v>
      </c>
      <c r="AE723" s="939">
        <f>ROUND(((Y723+Z723+AA723)),4)</f>
        <v>0.1041</v>
      </c>
      <c r="AF723" s="61"/>
      <c r="AG723" s="61"/>
      <c r="AH723" s="61"/>
      <c r="AI723" s="61"/>
    </row>
    <row r="724" spans="1:35" s="417" customFormat="1" ht="15" customHeight="1" x14ac:dyDescent="0.2">
      <c r="A724" s="559"/>
      <c r="B724" s="400"/>
      <c r="C724" s="414"/>
      <c r="D724" s="400"/>
      <c r="E724" s="400"/>
      <c r="F724" s="400"/>
      <c r="G724" s="400"/>
      <c r="H724" s="400"/>
      <c r="I724" s="400"/>
      <c r="J724" s="400"/>
      <c r="K724" s="409">
        <v>0.45</v>
      </c>
      <c r="L724" s="409">
        <v>0.67</v>
      </c>
      <c r="M724" s="400"/>
      <c r="N724" s="400"/>
      <c r="O724" s="400"/>
      <c r="P724" s="400"/>
      <c r="Q724" s="400"/>
      <c r="R724" s="412">
        <v>0.1</v>
      </c>
      <c r="S724" s="208">
        <f>ROUND((K724*H720+1.3*K724*J720+R724*G720),4)</f>
        <v>157.53749999999999</v>
      </c>
      <c r="T724" s="208">
        <f>ROUND((L724*0.9*H720+1.3*L724*0.9*J720+R724*G720),4)</f>
        <v>209.06030000000001</v>
      </c>
      <c r="U724" s="208">
        <f>ROUND((L724*H720+1.3*L724*J720+R724*G720),4)</f>
        <v>231.6225</v>
      </c>
      <c r="V724" s="208">
        <f>ROUND((K724*I720+1.3*K724*M720+R724*F720),4)</f>
        <v>12.75</v>
      </c>
      <c r="W724" s="208">
        <f>ROUND((L724*0.9*I720+1.3*L724*0.9*M720+R724*F720),4)</f>
        <v>16.881</v>
      </c>
      <c r="X724" s="208">
        <f>ROUND((L724*I720+1.3*L724*M720+R724*F720),4)</f>
        <v>18.690000000000001</v>
      </c>
      <c r="Y724" s="404">
        <f>ROUND((O720*S724*E720*N720/1000000),4)</f>
        <v>2.8400000000000002E-2</v>
      </c>
      <c r="Z724" s="404">
        <f>ROUND((P720*T724*E720*N720/1000000),4)</f>
        <v>1.8800000000000001E-2</v>
      </c>
      <c r="AA724" s="404">
        <f>ROUND((Q720*U724*E720*N720/1000000),4)</f>
        <v>2.1999999999999999E-2</v>
      </c>
      <c r="AB724" s="937" t="s">
        <v>61</v>
      </c>
      <c r="AC724" s="938" t="s">
        <v>62</v>
      </c>
      <c r="AD724" s="939">
        <f>ROUND((((W724*D720)/1800)),4)</f>
        <v>9.4000000000000004E-3</v>
      </c>
      <c r="AE724" s="939">
        <f>ROUND(((Y724+Z724+AA724)),4)</f>
        <v>6.9199999999999998E-2</v>
      </c>
      <c r="AF724" s="61"/>
      <c r="AG724" s="61"/>
      <c r="AH724" s="61"/>
      <c r="AI724" s="61"/>
    </row>
    <row r="725" spans="1:35" s="417" customFormat="1" ht="15" customHeight="1" x14ac:dyDescent="0.2">
      <c r="A725" s="512"/>
      <c r="B725" s="401"/>
      <c r="C725" s="416"/>
      <c r="D725" s="401"/>
      <c r="E725" s="401"/>
      <c r="F725" s="401"/>
      <c r="G725" s="401"/>
      <c r="H725" s="401"/>
      <c r="I725" s="401"/>
      <c r="J725" s="401"/>
      <c r="K725" s="409">
        <v>2.09</v>
      </c>
      <c r="L725" s="409">
        <v>2.5499999999999998</v>
      </c>
      <c r="M725" s="401"/>
      <c r="N725" s="401"/>
      <c r="O725" s="401"/>
      <c r="P725" s="401"/>
      <c r="Q725" s="401"/>
      <c r="R725" s="412">
        <v>3.91</v>
      </c>
      <c r="S725" s="208">
        <f>ROUND((K725*H720+1.3*K725*J720+R725*G720),4)</f>
        <v>938.40750000000003</v>
      </c>
      <c r="T725" s="208">
        <f>ROUND((L725*0.9*H720+1.3*L725*0.9*J720+R725*G720),4)</f>
        <v>1007.4413</v>
      </c>
      <c r="U725" s="208">
        <f>ROUND((L725*H720+1.3*L725*J720+R725*G720),4)</f>
        <v>1093.3125</v>
      </c>
      <c r="V725" s="208">
        <f>ROUND((K725*I720+1.3*K725*M720+R725*F720),4)</f>
        <v>79.89</v>
      </c>
      <c r="W725" s="208">
        <f>ROUND((L725*0.9*I720+1.3*L725*0.9*M720+R725*F720),4)</f>
        <v>85.424999999999997</v>
      </c>
      <c r="X725" s="208">
        <f>ROUND((L725*I720+1.3*L725*M720+R725*F720),4)</f>
        <v>92.31</v>
      </c>
      <c r="Y725" s="404">
        <f>ROUND((O720*S725*E720*N720/1000000),4)</f>
        <v>0.16889999999999999</v>
      </c>
      <c r="Z725" s="404">
        <f>ROUND((P720*T725*E720*N720/1000000),4)</f>
        <v>9.0700000000000003E-2</v>
      </c>
      <c r="AA725" s="404">
        <f>ROUND((Q720*U725*E720*N720/1000000),4)</f>
        <v>0.10390000000000001</v>
      </c>
      <c r="AB725" s="937" t="s">
        <v>65</v>
      </c>
      <c r="AC725" s="938" t="s">
        <v>66</v>
      </c>
      <c r="AD725" s="939">
        <f>ROUND((((W725*D720)/1800)),4)</f>
        <v>4.7500000000000001E-2</v>
      </c>
      <c r="AE725" s="939">
        <f>ROUND(((Y725+Z725+AA725)),4)</f>
        <v>0.36349999999999999</v>
      </c>
      <c r="AF725" s="61"/>
      <c r="AG725" s="61"/>
      <c r="AH725" s="61"/>
      <c r="AI725" s="61"/>
    </row>
    <row r="726" spans="1:35" s="417" customFormat="1" ht="15" customHeight="1" x14ac:dyDescent="0.2">
      <c r="A726" s="1481" t="s">
        <v>768</v>
      </c>
      <c r="B726" s="1482"/>
      <c r="C726" s="1482"/>
      <c r="D726" s="1482"/>
      <c r="E726" s="1482"/>
      <c r="F726" s="1482"/>
      <c r="G726" s="1482"/>
      <c r="H726" s="1482"/>
      <c r="I726" s="1482"/>
      <c r="J726" s="1482"/>
      <c r="K726" s="1482"/>
      <c r="L726" s="1482"/>
      <c r="M726" s="1482"/>
      <c r="N726" s="1482"/>
      <c r="O726" s="1482"/>
      <c r="P726" s="1482"/>
      <c r="Q726" s="1482"/>
      <c r="R726" s="1483"/>
      <c r="AB726" s="934" t="s">
        <v>48</v>
      </c>
      <c r="AC726" s="935" t="s">
        <v>49</v>
      </c>
      <c r="AD726" s="936">
        <f>MAX(AD714,AD720)</f>
        <v>8.1000000000000003E-2</v>
      </c>
      <c r="AE726" s="936">
        <f t="shared" ref="AE726:AE731" si="20">AE714+AE720</f>
        <v>1.0663</v>
      </c>
      <c r="AF726" s="61"/>
      <c r="AG726" s="61"/>
      <c r="AH726" s="61"/>
      <c r="AI726" s="61"/>
    </row>
    <row r="727" spans="1:35" s="417" customFormat="1" ht="15" customHeight="1" x14ac:dyDescent="0.2">
      <c r="A727" s="1484"/>
      <c r="B727" s="1485"/>
      <c r="C727" s="1485"/>
      <c r="D727" s="1485"/>
      <c r="E727" s="1485"/>
      <c r="F727" s="1485"/>
      <c r="G727" s="1485"/>
      <c r="H727" s="1485"/>
      <c r="I727" s="1485"/>
      <c r="J727" s="1485"/>
      <c r="K727" s="1485"/>
      <c r="L727" s="1485"/>
      <c r="M727" s="1485"/>
      <c r="N727" s="1485"/>
      <c r="O727" s="1485"/>
      <c r="P727" s="1485"/>
      <c r="Q727" s="1485"/>
      <c r="R727" s="1486"/>
      <c r="AB727" s="934" t="s">
        <v>51</v>
      </c>
      <c r="AC727" s="935" t="s">
        <v>52</v>
      </c>
      <c r="AD727" s="936">
        <f t="shared" ref="AD727:AD731" si="21">MAX(AD715,AD721)</f>
        <v>1.32E-2</v>
      </c>
      <c r="AE727" s="936">
        <f t="shared" si="20"/>
        <v>0.17330000000000001</v>
      </c>
      <c r="AF727" s="61"/>
      <c r="AG727" s="61"/>
      <c r="AH727" s="61"/>
      <c r="AI727" s="61"/>
    </row>
    <row r="728" spans="1:35" s="417" customFormat="1" ht="15" customHeight="1" x14ac:dyDescent="0.2">
      <c r="A728" s="1484"/>
      <c r="B728" s="1485"/>
      <c r="C728" s="1485"/>
      <c r="D728" s="1485"/>
      <c r="E728" s="1485"/>
      <c r="F728" s="1485"/>
      <c r="G728" s="1485"/>
      <c r="H728" s="1485"/>
      <c r="I728" s="1485"/>
      <c r="J728" s="1485"/>
      <c r="K728" s="1485"/>
      <c r="L728" s="1485"/>
      <c r="M728" s="1485"/>
      <c r="N728" s="1485"/>
      <c r="O728" s="1485"/>
      <c r="P728" s="1485"/>
      <c r="Q728" s="1485"/>
      <c r="R728" s="1486"/>
      <c r="AB728" s="934" t="s">
        <v>56</v>
      </c>
      <c r="AC728" s="935" t="s">
        <v>57</v>
      </c>
      <c r="AD728" s="936">
        <f t="shared" si="21"/>
        <v>9.2999999999999992E-3</v>
      </c>
      <c r="AE728" s="936">
        <f t="shared" si="20"/>
        <v>0.11849999999999999</v>
      </c>
      <c r="AF728" s="61"/>
      <c r="AG728" s="61"/>
      <c r="AH728" s="61"/>
      <c r="AI728" s="61"/>
    </row>
    <row r="729" spans="1:35" s="417" customFormat="1" ht="15" customHeight="1" x14ac:dyDescent="0.2">
      <c r="A729" s="1484"/>
      <c r="B729" s="1485"/>
      <c r="C729" s="1485"/>
      <c r="D729" s="1485"/>
      <c r="E729" s="1485"/>
      <c r="F729" s="1485"/>
      <c r="G729" s="1485"/>
      <c r="H729" s="1485"/>
      <c r="I729" s="1485"/>
      <c r="J729" s="1485"/>
      <c r="K729" s="1485"/>
      <c r="L729" s="1485"/>
      <c r="M729" s="1485"/>
      <c r="N729" s="1485"/>
      <c r="O729" s="1485"/>
      <c r="P729" s="1485"/>
      <c r="Q729" s="1485"/>
      <c r="R729" s="1486"/>
      <c r="AB729" s="934" t="s">
        <v>177</v>
      </c>
      <c r="AC729" s="935" t="s">
        <v>178</v>
      </c>
      <c r="AD729" s="936">
        <f t="shared" si="21"/>
        <v>2.1100000000000001E-2</v>
      </c>
      <c r="AE729" s="936">
        <f t="shared" si="20"/>
        <v>0.27160000000000001</v>
      </c>
      <c r="AF729" s="61"/>
      <c r="AG729" s="61"/>
      <c r="AH729" s="61"/>
      <c r="AI729" s="61"/>
    </row>
    <row r="730" spans="1:35" s="417" customFormat="1" ht="15" customHeight="1" x14ac:dyDescent="0.2">
      <c r="A730" s="1484"/>
      <c r="B730" s="1485"/>
      <c r="C730" s="1485"/>
      <c r="D730" s="1485"/>
      <c r="E730" s="1485"/>
      <c r="F730" s="1485"/>
      <c r="G730" s="1485"/>
      <c r="H730" s="1485"/>
      <c r="I730" s="1485"/>
      <c r="J730" s="1485"/>
      <c r="K730" s="1485"/>
      <c r="L730" s="1485"/>
      <c r="M730" s="1485"/>
      <c r="N730" s="1485"/>
      <c r="O730" s="1485"/>
      <c r="P730" s="1485"/>
      <c r="Q730" s="1485"/>
      <c r="R730" s="1486"/>
      <c r="AB730" s="934" t="s">
        <v>61</v>
      </c>
      <c r="AC730" s="935" t="s">
        <v>62</v>
      </c>
      <c r="AD730" s="936">
        <f t="shared" si="21"/>
        <v>1.5100000000000001E-2</v>
      </c>
      <c r="AE730" s="936">
        <f t="shared" si="20"/>
        <v>0.18059999999999998</v>
      </c>
      <c r="AF730" s="61"/>
      <c r="AG730" s="61"/>
      <c r="AH730" s="61"/>
      <c r="AI730" s="61"/>
    </row>
    <row r="731" spans="1:35" s="417" customFormat="1" ht="15" customHeight="1" x14ac:dyDescent="0.2">
      <c r="A731" s="1487"/>
      <c r="B731" s="1488"/>
      <c r="C731" s="1488"/>
      <c r="D731" s="1488"/>
      <c r="E731" s="1488"/>
      <c r="F731" s="1488"/>
      <c r="G731" s="1488"/>
      <c r="H731" s="1488"/>
      <c r="I731" s="1488"/>
      <c r="J731" s="1488"/>
      <c r="K731" s="1488"/>
      <c r="L731" s="1488"/>
      <c r="M731" s="1488"/>
      <c r="N731" s="1488"/>
      <c r="O731" s="1488"/>
      <c r="P731" s="1488"/>
      <c r="Q731" s="1488"/>
      <c r="R731" s="1489"/>
      <c r="AB731" s="934" t="s">
        <v>65</v>
      </c>
      <c r="AC731" s="935" t="s">
        <v>66</v>
      </c>
      <c r="AD731" s="936">
        <f t="shared" si="21"/>
        <v>7.6499999999999999E-2</v>
      </c>
      <c r="AE731" s="936">
        <f t="shared" si="20"/>
        <v>0.9496</v>
      </c>
      <c r="AF731" s="61">
        <f>SUM(AD726:AD731)</f>
        <v>0.2162</v>
      </c>
      <c r="AG731" s="61">
        <f>SUM(AE726:AE731)</f>
        <v>2.7599</v>
      </c>
      <c r="AH731" s="61"/>
      <c r="AI731" s="61"/>
    </row>
    <row r="732" spans="1:35" s="417" customFormat="1" ht="15" customHeight="1" x14ac:dyDescent="0.2">
      <c r="A732" s="1284" t="s">
        <v>1532</v>
      </c>
      <c r="B732" s="1437"/>
      <c r="C732" s="1438"/>
      <c r="D732" s="1438"/>
      <c r="E732" s="1438"/>
      <c r="F732" s="1438"/>
      <c r="G732" s="1438"/>
      <c r="H732" s="1438"/>
      <c r="I732" s="1438"/>
      <c r="J732" s="1438"/>
      <c r="K732" s="1438"/>
      <c r="L732" s="1438"/>
      <c r="M732" s="1438"/>
      <c r="N732" s="1438"/>
      <c r="O732" s="1438"/>
      <c r="P732" s="1438"/>
      <c r="Q732" s="1438"/>
      <c r="R732" s="1438"/>
      <c r="S732" s="1438"/>
      <c r="T732" s="1438"/>
      <c r="U732" s="1438"/>
      <c r="V732" s="1438"/>
      <c r="W732" s="1438"/>
      <c r="X732" s="1438"/>
      <c r="Y732" s="1438"/>
      <c r="Z732" s="1438"/>
      <c r="AA732" s="1438"/>
      <c r="AB732" s="1438"/>
      <c r="AC732" s="1438"/>
      <c r="AD732" s="1438"/>
      <c r="AE732" s="1439"/>
      <c r="AF732" s="61"/>
      <c r="AG732" s="61"/>
      <c r="AH732" s="61"/>
      <c r="AI732" s="61"/>
    </row>
    <row r="733" spans="1:35" s="417" customFormat="1" ht="15" customHeight="1" x14ac:dyDescent="0.2">
      <c r="A733" s="560" t="s">
        <v>771</v>
      </c>
      <c r="B733" s="402" t="s">
        <v>404</v>
      </c>
      <c r="C733" s="413">
        <v>6</v>
      </c>
      <c r="D733" s="381">
        <v>1</v>
      </c>
      <c r="E733" s="381">
        <v>1</v>
      </c>
      <c r="F733" s="381">
        <v>6</v>
      </c>
      <c r="G733" s="381">
        <v>60</v>
      </c>
      <c r="H733" s="381">
        <f>(8-1-0.75*2)*60*E733-J733-8*0.12*60</f>
        <v>57.900000000000006</v>
      </c>
      <c r="I733" s="381">
        <v>14</v>
      </c>
      <c r="J733" s="381">
        <f>(8-1-0.75*2)*0.65*60*E733</f>
        <v>214.5</v>
      </c>
      <c r="K733" s="208">
        <v>6.47</v>
      </c>
      <c r="L733" s="208">
        <v>6.47</v>
      </c>
      <c r="M733" s="381">
        <v>10</v>
      </c>
      <c r="N733" s="381">
        <f>D733/E733</f>
        <v>1</v>
      </c>
      <c r="O733" s="381">
        <v>180</v>
      </c>
      <c r="P733" s="381">
        <v>90</v>
      </c>
      <c r="Q733" s="403">
        <v>95</v>
      </c>
      <c r="R733" s="403">
        <v>1.27</v>
      </c>
      <c r="S733" s="208">
        <f>ROUND((K733*H733+1.3*K733*J733+R733*G733),4)</f>
        <v>2254.9724999999999</v>
      </c>
      <c r="T733" s="208">
        <f>ROUND((L733*H733+1.3*L733*J733+R733*G733),4)</f>
        <v>2254.9724999999999</v>
      </c>
      <c r="U733" s="208">
        <f>ROUND((L733*H733+1.3*L733*J733+R733*G733),4)</f>
        <v>2254.9724999999999</v>
      </c>
      <c r="V733" s="208">
        <f>ROUND((K733*I733+1.3*K733*M733+R733*F733),4)</f>
        <v>182.31</v>
      </c>
      <c r="W733" s="208">
        <f>ROUND((L733*I733+1.3*L733*M733+R733*F733),4)</f>
        <v>182.31</v>
      </c>
      <c r="X733" s="208">
        <f>ROUND((L733*I733+1.3*L733*M733+R733*F733),4)</f>
        <v>182.31</v>
      </c>
      <c r="Y733" s="404">
        <f>ROUND((O733*S733*E733*N733/1000000),4)</f>
        <v>0.40589999999999998</v>
      </c>
      <c r="Z733" s="404">
        <f>ROUND((P733*T733*E733*N733/1000000),4)</f>
        <v>0.2029</v>
      </c>
      <c r="AA733" s="404">
        <f>ROUND((Q733*U733*E733*N733/1000000),4)</f>
        <v>0.2142</v>
      </c>
      <c r="AB733" s="937" t="s">
        <v>48</v>
      </c>
      <c r="AC733" s="938" t="s">
        <v>49</v>
      </c>
      <c r="AD733" s="939">
        <f>ROUND((((W733*D733)/1800)*0.8),4)</f>
        <v>8.1000000000000003E-2</v>
      </c>
      <c r="AE733" s="939">
        <f>ROUND(((Y733+Z733+AA733)*0.8),4)</f>
        <v>0.65839999999999999</v>
      </c>
      <c r="AF733" s="61"/>
      <c r="AG733" s="61"/>
      <c r="AH733" s="61"/>
      <c r="AI733" s="61"/>
    </row>
    <row r="734" spans="1:35" s="417" customFormat="1" ht="15" customHeight="1" x14ac:dyDescent="0.2">
      <c r="A734" s="561" t="s">
        <v>166</v>
      </c>
      <c r="B734" s="405" t="s">
        <v>405</v>
      </c>
      <c r="C734" s="414"/>
      <c r="D734" s="400"/>
      <c r="E734" s="400"/>
      <c r="F734" s="400"/>
      <c r="G734" s="400"/>
      <c r="H734" s="400"/>
      <c r="I734" s="400"/>
      <c r="J734" s="400"/>
      <c r="K734" s="401"/>
      <c r="L734" s="401"/>
      <c r="M734" s="400"/>
      <c r="N734" s="400"/>
      <c r="O734" s="400"/>
      <c r="P734" s="400"/>
      <c r="Q734" s="400"/>
      <c r="R734" s="406"/>
      <c r="S734" s="407"/>
      <c r="T734" s="407"/>
      <c r="U734" s="407"/>
      <c r="V734" s="407"/>
      <c r="W734" s="407"/>
      <c r="X734" s="407"/>
      <c r="Y734" s="407"/>
      <c r="Z734" s="407"/>
      <c r="AA734" s="407"/>
      <c r="AB734" s="937" t="s">
        <v>51</v>
      </c>
      <c r="AC734" s="938" t="s">
        <v>52</v>
      </c>
      <c r="AD734" s="939">
        <f>ROUND((((W733*D733)/1800)*0.13),4)</f>
        <v>1.32E-2</v>
      </c>
      <c r="AE734" s="939">
        <f>ROUND(((Y733+Z733+AA733)*0.13),4)</f>
        <v>0.107</v>
      </c>
      <c r="AF734" s="61"/>
      <c r="AG734" s="61"/>
      <c r="AH734" s="61"/>
      <c r="AI734" s="61"/>
    </row>
    <row r="735" spans="1:35" s="417" customFormat="1" ht="15" customHeight="1" x14ac:dyDescent="0.2">
      <c r="A735" s="559"/>
      <c r="B735" s="400" t="s">
        <v>341</v>
      </c>
      <c r="C735" s="415"/>
      <c r="D735" s="400"/>
      <c r="E735" s="400"/>
      <c r="F735" s="400"/>
      <c r="G735" s="400"/>
      <c r="H735" s="400"/>
      <c r="I735" s="400"/>
      <c r="J735" s="400"/>
      <c r="K735" s="409">
        <v>0.51</v>
      </c>
      <c r="L735" s="409">
        <v>0.63</v>
      </c>
      <c r="M735" s="400"/>
      <c r="N735" s="400"/>
      <c r="O735" s="400"/>
      <c r="P735" s="400"/>
      <c r="Q735" s="400"/>
      <c r="R735" s="410">
        <v>0.25</v>
      </c>
      <c r="S735" s="208">
        <f>ROUND((K735*H733+1.3*K735*J733+R735*G733),4)</f>
        <v>186.74250000000001</v>
      </c>
      <c r="T735" s="208">
        <f>ROUND((L735*0.9*H733+1.3*L735*0.9*J733+R735*G733),4)</f>
        <v>205.93729999999999</v>
      </c>
      <c r="U735" s="208">
        <f>ROUND((L735*H733+1.3*L735*J733+R735*G733),4)</f>
        <v>227.1525</v>
      </c>
      <c r="V735" s="208">
        <f>ROUND((K735*I733+1.3*K735*M733+R735*F733),4)</f>
        <v>15.27</v>
      </c>
      <c r="W735" s="208">
        <f>ROUND((L735*0.9*I733+1.3*L735*0.9*M733+R735*F733),4)</f>
        <v>16.809000000000001</v>
      </c>
      <c r="X735" s="208">
        <f>ROUND((L735*I733+1.3*L735*M733+R735*F733),4)</f>
        <v>18.510000000000002</v>
      </c>
      <c r="Y735" s="404">
        <f>ROUND((O733*S735*E733*N733/1000000),4)</f>
        <v>3.3599999999999998E-2</v>
      </c>
      <c r="Z735" s="404">
        <f>ROUND((P733*T735*E733*N733/1000000),4)</f>
        <v>1.8499999999999999E-2</v>
      </c>
      <c r="AA735" s="404">
        <f>ROUND((Q733*U735*E733*N733/1000000),4)</f>
        <v>2.1600000000000001E-2</v>
      </c>
      <c r="AB735" s="937" t="s">
        <v>56</v>
      </c>
      <c r="AC735" s="938" t="s">
        <v>57</v>
      </c>
      <c r="AD735" s="939">
        <f>ROUND((((W735*D733)/1800)),4)</f>
        <v>9.2999999999999992E-3</v>
      </c>
      <c r="AE735" s="939">
        <f>ROUND(((Y735+Z735+AA735)),5)</f>
        <v>7.3700000000000002E-2</v>
      </c>
      <c r="AF735" s="61"/>
      <c r="AG735" s="61"/>
      <c r="AH735" s="61"/>
      <c r="AI735" s="61"/>
    </row>
    <row r="736" spans="1:35" s="417" customFormat="1" ht="15" customHeight="1" x14ac:dyDescent="0.2">
      <c r="A736" s="559"/>
      <c r="B736" s="400"/>
      <c r="C736" s="414"/>
      <c r="D736" s="400"/>
      <c r="E736" s="400"/>
      <c r="F736" s="400"/>
      <c r="G736" s="400"/>
      <c r="H736" s="400"/>
      <c r="I736" s="400"/>
      <c r="J736" s="400"/>
      <c r="K736" s="409">
        <v>1.1399999999999999</v>
      </c>
      <c r="L736" s="409">
        <v>1.37</v>
      </c>
      <c r="M736" s="400"/>
      <c r="N736" s="400"/>
      <c r="O736" s="400"/>
      <c r="P736" s="400"/>
      <c r="Q736" s="400"/>
      <c r="R736" s="412">
        <v>0.79</v>
      </c>
      <c r="S736" s="208">
        <f>ROUND((K736*H733+1.3*K736*J733+R736*G733),4)</f>
        <v>431.29500000000002</v>
      </c>
      <c r="T736" s="208">
        <f>ROUND((L736*0.9*H733+1.3*L736*0.9*J733+R736*G733),4)</f>
        <v>462.61279999999999</v>
      </c>
      <c r="U736" s="208">
        <f>ROUND((L736*H733+1.3*L736*J733+R736*G733),4)</f>
        <v>508.7475</v>
      </c>
      <c r="V736" s="208">
        <f>ROUND((K736*I733+1.3*K736*M733+R736*F733),4)</f>
        <v>35.520000000000003</v>
      </c>
      <c r="W736" s="208">
        <f>ROUND((L736*0.9*I733+1.3*L736*0.9*M733+R736*F733),4)</f>
        <v>38.030999999999999</v>
      </c>
      <c r="X736" s="208">
        <f>ROUND((L736*I733+1.3*M733+R736*F733),4)</f>
        <v>36.92</v>
      </c>
      <c r="Y736" s="404">
        <f>ROUND((O733*S736*E733*N733/1000000),4)</f>
        <v>7.7600000000000002E-2</v>
      </c>
      <c r="Z736" s="404">
        <f>ROUND((P733*T736*E733*N733/1000000),4)</f>
        <v>4.1599999999999998E-2</v>
      </c>
      <c r="AA736" s="404">
        <f>ROUND((Q733*U736*E733*N733/1000000),4)</f>
        <v>4.8300000000000003E-2</v>
      </c>
      <c r="AB736" s="937" t="s">
        <v>177</v>
      </c>
      <c r="AC736" s="938" t="s">
        <v>178</v>
      </c>
      <c r="AD736" s="939">
        <f>ROUND((((W736*D733)/1800)),4)</f>
        <v>2.1100000000000001E-2</v>
      </c>
      <c r="AE736" s="939">
        <f>ROUND(((Y736+Z736+AA736)),4)</f>
        <v>0.16750000000000001</v>
      </c>
      <c r="AF736" s="61"/>
      <c r="AG736" s="61"/>
      <c r="AH736" s="61"/>
      <c r="AI736" s="61"/>
    </row>
    <row r="737" spans="1:35" s="417" customFormat="1" ht="15" customHeight="1" x14ac:dyDescent="0.2">
      <c r="A737" s="559"/>
      <c r="B737" s="400"/>
      <c r="C737" s="414"/>
      <c r="D737" s="400"/>
      <c r="E737" s="400"/>
      <c r="F737" s="400"/>
      <c r="G737" s="400"/>
      <c r="H737" s="400"/>
      <c r="I737" s="400"/>
      <c r="J737" s="400"/>
      <c r="K737" s="409">
        <v>0.72</v>
      </c>
      <c r="L737" s="409">
        <v>1.08</v>
      </c>
      <c r="M737" s="400"/>
      <c r="N737" s="400"/>
      <c r="O737" s="400"/>
      <c r="P737" s="400"/>
      <c r="Q737" s="400"/>
      <c r="R737" s="412">
        <v>0.17</v>
      </c>
      <c r="S737" s="208">
        <f>ROUND((K737*H733+1.3*K737*J733+R737*G733),4)</f>
        <v>252.66</v>
      </c>
      <c r="T737" s="208">
        <f>ROUND((L737*0.9*H733+1.3*L737*0.9*J733+R737*G733),4)</f>
        <v>337.52100000000002</v>
      </c>
      <c r="U737" s="208">
        <f>ROUND((L737*H733+1.3*L737*J733+R737*G733),4)</f>
        <v>373.89</v>
      </c>
      <c r="V737" s="208">
        <f>ROUND((K737*I733+1.3*K737*M733+R737*F733),4)</f>
        <v>20.46</v>
      </c>
      <c r="W737" s="208">
        <f>ROUND((L737*0.9*I733+1.3*L737*0.9*M733+R737*F733),4)</f>
        <v>27.263999999999999</v>
      </c>
      <c r="X737" s="208">
        <f>ROUND((L737*I733+1.3*L737*M733+R737*F733),4)</f>
        <v>30.18</v>
      </c>
      <c r="Y737" s="404">
        <f>ROUND((O733*S737*E733*N733/1000000),4)</f>
        <v>4.5499999999999999E-2</v>
      </c>
      <c r="Z737" s="404">
        <f>ROUND((P733*T737*E733*N733/1000000),4)</f>
        <v>3.04E-2</v>
      </c>
      <c r="AA737" s="404">
        <f>ROUND((Q733*U737*E733*N733/1000000),4)</f>
        <v>3.5499999999999997E-2</v>
      </c>
      <c r="AB737" s="937" t="s">
        <v>61</v>
      </c>
      <c r="AC737" s="938" t="s">
        <v>62</v>
      </c>
      <c r="AD737" s="939">
        <f>ROUND((((W737*D733)/1800)),4)</f>
        <v>1.5100000000000001E-2</v>
      </c>
      <c r="AE737" s="939">
        <f>ROUND(((Y737+Z737+AA737)),4)</f>
        <v>0.1114</v>
      </c>
      <c r="AF737" s="61"/>
      <c r="AG737" s="61"/>
      <c r="AH737" s="61"/>
      <c r="AI737" s="61"/>
    </row>
    <row r="738" spans="1:35" s="417" customFormat="1" ht="15" customHeight="1" x14ac:dyDescent="0.2">
      <c r="A738" s="559"/>
      <c r="B738" s="401"/>
      <c r="C738" s="416"/>
      <c r="D738" s="401"/>
      <c r="E738" s="401"/>
      <c r="F738" s="401"/>
      <c r="G738" s="401"/>
      <c r="H738" s="401"/>
      <c r="I738" s="401"/>
      <c r="J738" s="401"/>
      <c r="K738" s="409">
        <v>3.37</v>
      </c>
      <c r="L738" s="409">
        <v>4.1100000000000003</v>
      </c>
      <c r="M738" s="401"/>
      <c r="N738" s="401"/>
      <c r="O738" s="401"/>
      <c r="P738" s="401"/>
      <c r="Q738" s="401"/>
      <c r="R738" s="412">
        <v>6.31</v>
      </c>
      <c r="S738" s="208">
        <f>ROUND((K738*H733+1.3*K738*J733+R738*G733),4)</f>
        <v>1513.4475</v>
      </c>
      <c r="T738" s="208">
        <f>ROUND((L738*0.9*H733+1.3*L738*0.9*J733+R738*G733),4)</f>
        <v>1624.2383</v>
      </c>
      <c r="U738" s="208">
        <f>ROUND((L738*H733+1.3*L738*J733+R738*G733),4)</f>
        <v>1762.6424999999999</v>
      </c>
      <c r="V738" s="208">
        <f>ROUND((K738*I733+1.3*K738*M733+R738*F733),4)</f>
        <v>128.85</v>
      </c>
      <c r="W738" s="208">
        <f>ROUND((L738*0.9*I733+1.3*L738*0.9*M733+R738*F733),4)</f>
        <v>137.733</v>
      </c>
      <c r="X738" s="208">
        <f>ROUND((L738*I733+1.3*L738*M733+R738*F733),4)</f>
        <v>148.83000000000001</v>
      </c>
      <c r="Y738" s="404">
        <f>ROUND((O733*S738*E733*N733/1000000),4)</f>
        <v>0.27239999999999998</v>
      </c>
      <c r="Z738" s="404">
        <f>ROUND((P733*T738*E733*N733/1000000),4)</f>
        <v>0.1462</v>
      </c>
      <c r="AA738" s="404">
        <f>ROUND((Q733*U738*E733*N733/1000000),4)</f>
        <v>0.16750000000000001</v>
      </c>
      <c r="AB738" s="937" t="s">
        <v>65</v>
      </c>
      <c r="AC738" s="938" t="s">
        <v>66</v>
      </c>
      <c r="AD738" s="939">
        <f>ROUND((((W738*D733)/1800)),4)</f>
        <v>7.6499999999999999E-2</v>
      </c>
      <c r="AE738" s="939">
        <f>ROUND(((Y738+Z738+AA738)),4)</f>
        <v>0.58609999999999995</v>
      </c>
      <c r="AF738" s="61"/>
      <c r="AG738" s="61"/>
      <c r="AH738" s="61"/>
      <c r="AI738" s="61"/>
    </row>
    <row r="739" spans="1:35" s="417" customFormat="1" ht="15" customHeight="1" x14ac:dyDescent="0.2">
      <c r="A739" s="559"/>
      <c r="B739" s="402" t="s">
        <v>406</v>
      </c>
      <c r="C739" s="413">
        <v>5</v>
      </c>
      <c r="D739" s="381">
        <v>1</v>
      </c>
      <c r="E739" s="381">
        <v>1</v>
      </c>
      <c r="F739" s="381">
        <v>6</v>
      </c>
      <c r="G739" s="381">
        <v>60</v>
      </c>
      <c r="H739" s="381">
        <f>(8-1-0.75*2)*60*E739-J739-8*0.12*60</f>
        <v>57.900000000000006</v>
      </c>
      <c r="I739" s="381">
        <v>14</v>
      </c>
      <c r="J739" s="381">
        <f>(8-1-0.75*2)*0.65*60*E739</f>
        <v>214.5</v>
      </c>
      <c r="K739" s="208">
        <v>4.01</v>
      </c>
      <c r="L739" s="208">
        <v>4.01</v>
      </c>
      <c r="M739" s="381">
        <v>10</v>
      </c>
      <c r="N739" s="381">
        <f>D739/E739</f>
        <v>1</v>
      </c>
      <c r="O739" s="381">
        <v>180</v>
      </c>
      <c r="P739" s="381">
        <v>90</v>
      </c>
      <c r="Q739" s="403">
        <v>95</v>
      </c>
      <c r="R739" s="403">
        <v>0.78</v>
      </c>
      <c r="S739" s="208">
        <f>ROUND((K739*H739+1.3*K739*J739+R739*G739),4)</f>
        <v>1397.1675</v>
      </c>
      <c r="T739" s="208">
        <f>ROUND((L739*H739+1.3*L739*J739+R739*G739),4)</f>
        <v>1397.1675</v>
      </c>
      <c r="U739" s="208">
        <f>ROUND((L739*H739+1.3*L739*J739+R739*G739),4)</f>
        <v>1397.1675</v>
      </c>
      <c r="V739" s="208">
        <f>ROUND((K739*I739+1.3*K739*M739+R739*F739),4)</f>
        <v>112.95</v>
      </c>
      <c r="W739" s="208">
        <f>ROUND((L739*I739+1.3*L739*M739+R739*F739),4)</f>
        <v>112.95</v>
      </c>
      <c r="X739" s="208">
        <f>ROUND((L739*I739+1.3*L739*M739+R739*F739),4)</f>
        <v>112.95</v>
      </c>
      <c r="Y739" s="404">
        <f>ROUND((O739*S739*E739*N739/1000000),4)</f>
        <v>0.2515</v>
      </c>
      <c r="Z739" s="404">
        <f>ROUND((P739*T739*E739*N739/1000000),4)</f>
        <v>0.12570000000000001</v>
      </c>
      <c r="AA739" s="404">
        <f>ROUND((Q739*U739*E739*N739/1000000),4)</f>
        <v>0.13270000000000001</v>
      </c>
      <c r="AB739" s="937" t="s">
        <v>48</v>
      </c>
      <c r="AC739" s="938" t="s">
        <v>49</v>
      </c>
      <c r="AD739" s="939">
        <f>ROUND((((W739*D739)/1800)*0.8),4)</f>
        <v>5.0200000000000002E-2</v>
      </c>
      <c r="AE739" s="939">
        <f>ROUND(((Y739+Z739+AA739)*0.8),4)</f>
        <v>0.40789999999999998</v>
      </c>
      <c r="AF739" s="61"/>
      <c r="AG739" s="61"/>
      <c r="AH739" s="61"/>
      <c r="AI739" s="61"/>
    </row>
    <row r="740" spans="1:35" s="417" customFormat="1" ht="15" customHeight="1" x14ac:dyDescent="0.2">
      <c r="A740" s="559"/>
      <c r="B740" s="405" t="s">
        <v>769</v>
      </c>
      <c r="C740" s="414"/>
      <c r="D740" s="400"/>
      <c r="E740" s="400"/>
      <c r="F740" s="400"/>
      <c r="G740" s="400"/>
      <c r="H740" s="400"/>
      <c r="I740" s="400"/>
      <c r="J740" s="400"/>
      <c r="K740" s="401"/>
      <c r="L740" s="401"/>
      <c r="M740" s="400"/>
      <c r="N740" s="400"/>
      <c r="O740" s="400"/>
      <c r="P740" s="400"/>
      <c r="Q740" s="400"/>
      <c r="R740" s="406"/>
      <c r="S740" s="407"/>
      <c r="T740" s="407"/>
      <c r="U740" s="407"/>
      <c r="V740" s="407"/>
      <c r="W740" s="407"/>
      <c r="X740" s="407"/>
      <c r="Y740" s="407"/>
      <c r="Z740" s="407"/>
      <c r="AA740" s="407"/>
      <c r="AB740" s="937" t="s">
        <v>51</v>
      </c>
      <c r="AC740" s="938" t="s">
        <v>52</v>
      </c>
      <c r="AD740" s="939">
        <f>ROUND((((W739*D739)/1800)*0.13),4)</f>
        <v>8.2000000000000007E-3</v>
      </c>
      <c r="AE740" s="939">
        <f>ROUND(((Y739+Z739+AA739)*0.13),4)</f>
        <v>6.6299999999999998E-2</v>
      </c>
      <c r="AF740" s="61"/>
      <c r="AG740" s="61"/>
      <c r="AH740" s="61"/>
      <c r="AI740" s="61"/>
    </row>
    <row r="741" spans="1:35" s="417" customFormat="1" ht="15" customHeight="1" x14ac:dyDescent="0.2">
      <c r="A741" s="559"/>
      <c r="B741" s="400" t="s">
        <v>770</v>
      </c>
      <c r="C741" s="415"/>
      <c r="D741" s="400"/>
      <c r="E741" s="400"/>
      <c r="F741" s="400"/>
      <c r="G741" s="400"/>
      <c r="H741" s="400"/>
      <c r="I741" s="400"/>
      <c r="J741" s="400"/>
      <c r="K741" s="409">
        <v>0.31</v>
      </c>
      <c r="L741" s="409">
        <v>0.38</v>
      </c>
      <c r="M741" s="400"/>
      <c r="N741" s="400"/>
      <c r="O741" s="400"/>
      <c r="P741" s="400"/>
      <c r="Q741" s="400"/>
      <c r="R741" s="410">
        <v>0.16</v>
      </c>
      <c r="S741" s="208">
        <f>ROUND((K741*H739+1.3*K741*J739+R741*G739),4)</f>
        <v>113.99250000000001</v>
      </c>
      <c r="T741" s="208">
        <f>ROUND((L741*0.9*H739+1.3*L741*0.9*J739+R741*G739),4)</f>
        <v>124.7685</v>
      </c>
      <c r="U741" s="208">
        <f>ROUND((L741*H739+1.3*L741*J739+R741*G739),4)</f>
        <v>137.565</v>
      </c>
      <c r="V741" s="208">
        <f>ROUND((K741*I739+1.3*K741*M739+R741*F739),4)</f>
        <v>9.33</v>
      </c>
      <c r="W741" s="208">
        <f>ROUND((L741*0.9*I739+1.3*L741*0.9*M739+R741*F739),4)</f>
        <v>10.194000000000001</v>
      </c>
      <c r="X741" s="208">
        <f>ROUND((L741*I739+1.3*L741*M739+R741*F739),4)</f>
        <v>11.22</v>
      </c>
      <c r="Y741" s="404">
        <f>ROUND((O739*S741*E739*N739/1000000),4)</f>
        <v>2.0500000000000001E-2</v>
      </c>
      <c r="Z741" s="404">
        <f>ROUND((P739*T741*E739*N739/1000000),4)</f>
        <v>1.12E-2</v>
      </c>
      <c r="AA741" s="404">
        <f>ROUND((Q739*U741*E739*N739/1000000),4)</f>
        <v>1.3100000000000001E-2</v>
      </c>
      <c r="AB741" s="937" t="s">
        <v>56</v>
      </c>
      <c r="AC741" s="938" t="s">
        <v>57</v>
      </c>
      <c r="AD741" s="939">
        <f>ROUND((((W741*D739)/1800)),4)</f>
        <v>5.7000000000000002E-3</v>
      </c>
      <c r="AE741" s="939">
        <f>ROUND(((Y741+Z741+AA741)),5)</f>
        <v>4.48E-2</v>
      </c>
      <c r="AF741" s="61"/>
      <c r="AG741" s="61"/>
      <c r="AH741" s="61"/>
      <c r="AI741" s="61"/>
    </row>
    <row r="742" spans="1:35" s="417" customFormat="1" ht="15" customHeight="1" x14ac:dyDescent="0.2">
      <c r="A742" s="559"/>
      <c r="B742" s="400"/>
      <c r="C742" s="414"/>
      <c r="D742" s="400"/>
      <c r="E742" s="400"/>
      <c r="F742" s="400"/>
      <c r="G742" s="400"/>
      <c r="H742" s="400"/>
      <c r="I742" s="400"/>
      <c r="J742" s="400"/>
      <c r="K742" s="409">
        <v>0.71</v>
      </c>
      <c r="L742" s="409">
        <v>0.85</v>
      </c>
      <c r="M742" s="400"/>
      <c r="N742" s="400"/>
      <c r="O742" s="400"/>
      <c r="P742" s="400"/>
      <c r="Q742" s="400"/>
      <c r="R742" s="412">
        <v>0.49</v>
      </c>
      <c r="S742" s="208">
        <f>ROUND((K742*H739+1.3*K742*J739+R742*G739),4)</f>
        <v>268.49250000000001</v>
      </c>
      <c r="T742" s="208">
        <f>ROUND((L742*0.9*H739+1.3*L742*0.9*J739+R742*G739),4)</f>
        <v>287.0138</v>
      </c>
      <c r="U742" s="208">
        <f>ROUND((L742*H739+1.3*L742*J739+R742*G739),4)</f>
        <v>315.63749999999999</v>
      </c>
      <c r="V742" s="208">
        <f>ROUND((K742*I739+1.3*K742*M739+R742*F739),4)</f>
        <v>22.11</v>
      </c>
      <c r="W742" s="208">
        <f>ROUND((L742*0.9*I739+1.3*L742*0.9*M739+R742*F739),4)</f>
        <v>23.594999999999999</v>
      </c>
      <c r="X742" s="208">
        <f>ROUND((L742*I739+1.3*M739+R742*F739),4)</f>
        <v>27.84</v>
      </c>
      <c r="Y742" s="404">
        <f>ROUND((O739*S742*E739*N739/1000000),4)</f>
        <v>4.8300000000000003E-2</v>
      </c>
      <c r="Z742" s="404">
        <f>ROUND((P739*T742*E739*N739/1000000),4)</f>
        <v>2.58E-2</v>
      </c>
      <c r="AA742" s="404">
        <f>ROUND((Q739*U742*E739*N739/1000000),4)</f>
        <v>0.03</v>
      </c>
      <c r="AB742" s="937" t="s">
        <v>177</v>
      </c>
      <c r="AC742" s="938" t="s">
        <v>178</v>
      </c>
      <c r="AD742" s="939">
        <f>ROUND((((W742*D739)/1800)),4)</f>
        <v>1.3100000000000001E-2</v>
      </c>
      <c r="AE742" s="939">
        <f>ROUND(((Y742+Z742+AA742)),4)</f>
        <v>0.1041</v>
      </c>
      <c r="AF742" s="61"/>
      <c r="AG742" s="61"/>
      <c r="AH742" s="61"/>
      <c r="AI742" s="61"/>
    </row>
    <row r="743" spans="1:35" s="417" customFormat="1" ht="15" customHeight="1" x14ac:dyDescent="0.2">
      <c r="A743" s="559"/>
      <c r="B743" s="400"/>
      <c r="C743" s="414"/>
      <c r="D743" s="400"/>
      <c r="E743" s="400"/>
      <c r="F743" s="400"/>
      <c r="G743" s="400"/>
      <c r="H743" s="400"/>
      <c r="I743" s="400"/>
      <c r="J743" s="400"/>
      <c r="K743" s="409">
        <v>0.45</v>
      </c>
      <c r="L743" s="409">
        <v>0.67</v>
      </c>
      <c r="M743" s="400"/>
      <c r="N743" s="400"/>
      <c r="O743" s="400"/>
      <c r="P743" s="400"/>
      <c r="Q743" s="400"/>
      <c r="R743" s="412">
        <v>0.1</v>
      </c>
      <c r="S743" s="208">
        <f>ROUND((K743*H739+1.3*K743*J739+R743*G739),4)</f>
        <v>157.53749999999999</v>
      </c>
      <c r="T743" s="208">
        <f>ROUND((L743*0.9*H739+1.3*L743*0.9*J739+R743*G739),4)</f>
        <v>209.06030000000001</v>
      </c>
      <c r="U743" s="208">
        <f>ROUND((L743*H739+1.3*L743*J739+R743*G739),4)</f>
        <v>231.6225</v>
      </c>
      <c r="V743" s="208">
        <f>ROUND((K743*I739+1.3*K743*M739+R743*F739),4)</f>
        <v>12.75</v>
      </c>
      <c r="W743" s="208">
        <f>ROUND((L743*0.9*I739+1.3*L743*0.9*M739+R743*F739),4)</f>
        <v>16.881</v>
      </c>
      <c r="X743" s="208">
        <f>ROUND((L743*I739+1.3*L743*M739+R743*F739),4)</f>
        <v>18.690000000000001</v>
      </c>
      <c r="Y743" s="404">
        <f>ROUND((O739*S743*E739*N739/1000000),4)</f>
        <v>2.8400000000000002E-2</v>
      </c>
      <c r="Z743" s="404">
        <f>ROUND((P739*T743*E739*N739/1000000),4)</f>
        <v>1.8800000000000001E-2</v>
      </c>
      <c r="AA743" s="404">
        <f>ROUND((Q739*U743*E739*N739/1000000),4)</f>
        <v>2.1999999999999999E-2</v>
      </c>
      <c r="AB743" s="937" t="s">
        <v>61</v>
      </c>
      <c r="AC743" s="938" t="s">
        <v>62</v>
      </c>
      <c r="AD743" s="939">
        <f>ROUND((((W743*D739)/1800)),4)</f>
        <v>9.4000000000000004E-3</v>
      </c>
      <c r="AE743" s="939">
        <f>ROUND(((Y743+Z743+AA743)),4)</f>
        <v>6.9199999999999998E-2</v>
      </c>
      <c r="AF743" s="61"/>
      <c r="AG743" s="61"/>
      <c r="AH743" s="61"/>
      <c r="AI743" s="61"/>
    </row>
    <row r="744" spans="1:35" s="417" customFormat="1" ht="15" customHeight="1" x14ac:dyDescent="0.2">
      <c r="A744" s="512"/>
      <c r="B744" s="401"/>
      <c r="C744" s="416"/>
      <c r="D744" s="401"/>
      <c r="E744" s="401"/>
      <c r="F744" s="401"/>
      <c r="G744" s="401"/>
      <c r="H744" s="401"/>
      <c r="I744" s="401"/>
      <c r="J744" s="401"/>
      <c r="K744" s="409">
        <v>2.09</v>
      </c>
      <c r="L744" s="409">
        <v>2.5499999999999998</v>
      </c>
      <c r="M744" s="401"/>
      <c r="N744" s="401"/>
      <c r="O744" s="401"/>
      <c r="P744" s="401"/>
      <c r="Q744" s="401"/>
      <c r="R744" s="412">
        <v>3.91</v>
      </c>
      <c r="S744" s="208">
        <f>ROUND((K744*H739+1.3*K744*J739+R744*G739),4)</f>
        <v>938.40750000000003</v>
      </c>
      <c r="T744" s="208">
        <f>ROUND((L744*0.9*H739+1.3*L744*0.9*J739+R744*G739),4)</f>
        <v>1007.4413</v>
      </c>
      <c r="U744" s="208">
        <f>ROUND((L744*H739+1.3*L744*J739+R744*G739),4)</f>
        <v>1093.3125</v>
      </c>
      <c r="V744" s="208">
        <f>ROUND((K744*I739+1.3*K744*M739+R744*F739),4)</f>
        <v>79.89</v>
      </c>
      <c r="W744" s="208">
        <f>ROUND((L744*0.9*I739+1.3*L744*0.9*M739+R744*F739),4)</f>
        <v>85.424999999999997</v>
      </c>
      <c r="X744" s="208">
        <f>ROUND((L744*I739+1.3*L744*M739+R744*F739),4)</f>
        <v>92.31</v>
      </c>
      <c r="Y744" s="404">
        <f>ROUND((O739*S744*E739*N739/1000000),4)</f>
        <v>0.16889999999999999</v>
      </c>
      <c r="Z744" s="404">
        <f>ROUND((P739*T744*E739*N739/1000000),4)</f>
        <v>9.0700000000000003E-2</v>
      </c>
      <c r="AA744" s="404">
        <f>ROUND((Q739*U744*E739*N739/1000000),4)</f>
        <v>0.10390000000000001</v>
      </c>
      <c r="AB744" s="937" t="s">
        <v>65</v>
      </c>
      <c r="AC744" s="938" t="s">
        <v>66</v>
      </c>
      <c r="AD744" s="939">
        <f>ROUND((((W744*D739)/1800)),4)</f>
        <v>4.7500000000000001E-2</v>
      </c>
      <c r="AE744" s="939">
        <f>ROUND(((Y744+Z744+AA744)),4)</f>
        <v>0.36349999999999999</v>
      </c>
      <c r="AF744" s="61"/>
      <c r="AG744" s="61"/>
      <c r="AH744" s="61"/>
      <c r="AI744" s="61"/>
    </row>
    <row r="745" spans="1:35" s="417" customFormat="1" ht="15" customHeight="1" x14ac:dyDescent="0.2">
      <c r="A745" s="1481" t="s">
        <v>772</v>
      </c>
      <c r="B745" s="1482"/>
      <c r="C745" s="1482"/>
      <c r="D745" s="1482"/>
      <c r="E745" s="1482"/>
      <c r="F745" s="1482"/>
      <c r="G745" s="1482"/>
      <c r="H745" s="1482"/>
      <c r="I745" s="1482"/>
      <c r="J745" s="1482"/>
      <c r="K745" s="1482"/>
      <c r="L745" s="1482"/>
      <c r="M745" s="1482"/>
      <c r="N745" s="1482"/>
      <c r="O745" s="1482"/>
      <c r="P745" s="1482"/>
      <c r="Q745" s="1482"/>
      <c r="R745" s="1483"/>
      <c r="AB745" s="934" t="s">
        <v>48</v>
      </c>
      <c r="AC745" s="935" t="s">
        <v>49</v>
      </c>
      <c r="AD745" s="936">
        <f>MAX(AD733,AD739)</f>
        <v>8.1000000000000003E-2</v>
      </c>
      <c r="AE745" s="936">
        <f t="shared" ref="AE745:AE750" si="22">AE733+AE739</f>
        <v>1.0663</v>
      </c>
      <c r="AF745" s="61"/>
      <c r="AG745" s="61"/>
      <c r="AH745" s="61"/>
      <c r="AI745" s="61"/>
    </row>
    <row r="746" spans="1:35" s="417" customFormat="1" ht="15" customHeight="1" x14ac:dyDescent="0.2">
      <c r="A746" s="1484"/>
      <c r="B746" s="1485"/>
      <c r="C746" s="1485"/>
      <c r="D746" s="1485"/>
      <c r="E746" s="1485"/>
      <c r="F746" s="1485"/>
      <c r="G746" s="1485"/>
      <c r="H746" s="1485"/>
      <c r="I746" s="1485"/>
      <c r="J746" s="1485"/>
      <c r="K746" s="1485"/>
      <c r="L746" s="1485"/>
      <c r="M746" s="1485"/>
      <c r="N746" s="1485"/>
      <c r="O746" s="1485"/>
      <c r="P746" s="1485"/>
      <c r="Q746" s="1485"/>
      <c r="R746" s="1486"/>
      <c r="AB746" s="934" t="s">
        <v>51</v>
      </c>
      <c r="AC746" s="935" t="s">
        <v>52</v>
      </c>
      <c r="AD746" s="936">
        <f t="shared" ref="AD746:AD750" si="23">MAX(AD734,AD740)</f>
        <v>1.32E-2</v>
      </c>
      <c r="AE746" s="936">
        <f t="shared" si="22"/>
        <v>0.17330000000000001</v>
      </c>
      <c r="AF746" s="61"/>
      <c r="AG746" s="61"/>
      <c r="AH746" s="61"/>
      <c r="AI746" s="61"/>
    </row>
    <row r="747" spans="1:35" s="417" customFormat="1" ht="15" customHeight="1" x14ac:dyDescent="0.2">
      <c r="A747" s="1484"/>
      <c r="B747" s="1485"/>
      <c r="C747" s="1485"/>
      <c r="D747" s="1485"/>
      <c r="E747" s="1485"/>
      <c r="F747" s="1485"/>
      <c r="G747" s="1485"/>
      <c r="H747" s="1485"/>
      <c r="I747" s="1485"/>
      <c r="J747" s="1485"/>
      <c r="K747" s="1485"/>
      <c r="L747" s="1485"/>
      <c r="M747" s="1485"/>
      <c r="N747" s="1485"/>
      <c r="O747" s="1485"/>
      <c r="P747" s="1485"/>
      <c r="Q747" s="1485"/>
      <c r="R747" s="1486"/>
      <c r="AB747" s="934" t="s">
        <v>56</v>
      </c>
      <c r="AC747" s="935" t="s">
        <v>57</v>
      </c>
      <c r="AD747" s="936">
        <f t="shared" si="23"/>
        <v>9.2999999999999992E-3</v>
      </c>
      <c r="AE747" s="936">
        <f t="shared" si="22"/>
        <v>0.11849999999999999</v>
      </c>
      <c r="AF747" s="61"/>
      <c r="AG747" s="61"/>
      <c r="AH747" s="61"/>
      <c r="AI747" s="61"/>
    </row>
    <row r="748" spans="1:35" s="417" customFormat="1" ht="15" customHeight="1" x14ac:dyDescent="0.2">
      <c r="A748" s="1484"/>
      <c r="B748" s="1485"/>
      <c r="C748" s="1485"/>
      <c r="D748" s="1485"/>
      <c r="E748" s="1485"/>
      <c r="F748" s="1485"/>
      <c r="G748" s="1485"/>
      <c r="H748" s="1485"/>
      <c r="I748" s="1485"/>
      <c r="J748" s="1485"/>
      <c r="K748" s="1485"/>
      <c r="L748" s="1485"/>
      <c r="M748" s="1485"/>
      <c r="N748" s="1485"/>
      <c r="O748" s="1485"/>
      <c r="P748" s="1485"/>
      <c r="Q748" s="1485"/>
      <c r="R748" s="1486"/>
      <c r="AB748" s="934" t="s">
        <v>177</v>
      </c>
      <c r="AC748" s="935" t="s">
        <v>178</v>
      </c>
      <c r="AD748" s="936">
        <f t="shared" si="23"/>
        <v>2.1100000000000001E-2</v>
      </c>
      <c r="AE748" s="936">
        <f t="shared" si="22"/>
        <v>0.27160000000000001</v>
      </c>
      <c r="AF748" s="61"/>
      <c r="AG748" s="61"/>
      <c r="AH748" s="61"/>
      <c r="AI748" s="61"/>
    </row>
    <row r="749" spans="1:35" s="417" customFormat="1" ht="15" customHeight="1" x14ac:dyDescent="0.2">
      <c r="A749" s="1484"/>
      <c r="B749" s="1485"/>
      <c r="C749" s="1485"/>
      <c r="D749" s="1485"/>
      <c r="E749" s="1485"/>
      <c r="F749" s="1485"/>
      <c r="G749" s="1485"/>
      <c r="H749" s="1485"/>
      <c r="I749" s="1485"/>
      <c r="J749" s="1485"/>
      <c r="K749" s="1485"/>
      <c r="L749" s="1485"/>
      <c r="M749" s="1485"/>
      <c r="N749" s="1485"/>
      <c r="O749" s="1485"/>
      <c r="P749" s="1485"/>
      <c r="Q749" s="1485"/>
      <c r="R749" s="1486"/>
      <c r="AB749" s="934" t="s">
        <v>61</v>
      </c>
      <c r="AC749" s="935" t="s">
        <v>62</v>
      </c>
      <c r="AD749" s="936">
        <f t="shared" si="23"/>
        <v>1.5100000000000001E-2</v>
      </c>
      <c r="AE749" s="936">
        <f t="shared" si="22"/>
        <v>0.18059999999999998</v>
      </c>
      <c r="AF749" s="61"/>
      <c r="AG749" s="61"/>
      <c r="AH749" s="61"/>
      <c r="AI749" s="61"/>
    </row>
    <row r="750" spans="1:35" s="417" customFormat="1" ht="15" customHeight="1" x14ac:dyDescent="0.2">
      <c r="A750" s="1487"/>
      <c r="B750" s="1488"/>
      <c r="C750" s="1488"/>
      <c r="D750" s="1488"/>
      <c r="E750" s="1488"/>
      <c r="F750" s="1488"/>
      <c r="G750" s="1488"/>
      <c r="H750" s="1488"/>
      <c r="I750" s="1488"/>
      <c r="J750" s="1488"/>
      <c r="K750" s="1488"/>
      <c r="L750" s="1488"/>
      <c r="M750" s="1488"/>
      <c r="N750" s="1488"/>
      <c r="O750" s="1488"/>
      <c r="P750" s="1488"/>
      <c r="Q750" s="1488"/>
      <c r="R750" s="1489"/>
      <c r="AB750" s="934" t="s">
        <v>65</v>
      </c>
      <c r="AC750" s="935" t="s">
        <v>66</v>
      </c>
      <c r="AD750" s="936">
        <f t="shared" si="23"/>
        <v>7.6499999999999999E-2</v>
      </c>
      <c r="AE750" s="936">
        <f t="shared" si="22"/>
        <v>0.9496</v>
      </c>
      <c r="AF750" s="61">
        <f>SUM(AD745:AD750)</f>
        <v>0.2162</v>
      </c>
      <c r="AG750" s="61">
        <f>SUM(AE745:AE750)</f>
        <v>2.7599</v>
      </c>
      <c r="AH750" s="61"/>
      <c r="AI750" s="61"/>
    </row>
    <row r="751" spans="1:35" x14ac:dyDescent="0.25">
      <c r="AF751" s="724">
        <f>SUM(AF371:AF750)</f>
        <v>4.455300000000002</v>
      </c>
      <c r="AG751" s="724">
        <f>SUM(AG371:AG750)</f>
        <v>27.398299999999992</v>
      </c>
      <c r="AH751" s="724">
        <v>2030</v>
      </c>
    </row>
  </sheetData>
  <mergeCells count="150">
    <mergeCell ref="A615:AE615"/>
    <mergeCell ref="A745:R750"/>
    <mergeCell ref="A699:AE699"/>
    <mergeCell ref="A643:AE643"/>
    <mergeCell ref="A685:AE685"/>
    <mergeCell ref="A692:AE692"/>
    <mergeCell ref="A650:AE650"/>
    <mergeCell ref="A657:AE657"/>
    <mergeCell ref="A664:AE664"/>
    <mergeCell ref="A671:AE671"/>
    <mergeCell ref="A678:AE678"/>
    <mergeCell ref="A706:AE706"/>
    <mergeCell ref="A713:AE713"/>
    <mergeCell ref="A726:R731"/>
    <mergeCell ref="A732:AE732"/>
    <mergeCell ref="A622:AE622"/>
    <mergeCell ref="A629:AE629"/>
    <mergeCell ref="A636:AE636"/>
    <mergeCell ref="A601:AE601"/>
    <mergeCell ref="A608:AE608"/>
    <mergeCell ref="A566:AE566"/>
    <mergeCell ref="A573:AE573"/>
    <mergeCell ref="A580:AE580"/>
    <mergeCell ref="A587:AE587"/>
    <mergeCell ref="A594:AE594"/>
    <mergeCell ref="A489:AE489"/>
    <mergeCell ref="A496:AE496"/>
    <mergeCell ref="A503:AE503"/>
    <mergeCell ref="A524:AE524"/>
    <mergeCell ref="A531:AE531"/>
    <mergeCell ref="A538:AE538"/>
    <mergeCell ref="A545:AE545"/>
    <mergeCell ref="A552:AE552"/>
    <mergeCell ref="A559:AE559"/>
    <mergeCell ref="A440:AE440"/>
    <mergeCell ref="A510:AE510"/>
    <mergeCell ref="A517:AE517"/>
    <mergeCell ref="A454:AE454"/>
    <mergeCell ref="A461:AE461"/>
    <mergeCell ref="A468:AE468"/>
    <mergeCell ref="A475:AE475"/>
    <mergeCell ref="A482:AE482"/>
    <mergeCell ref="A447:AE447"/>
    <mergeCell ref="AG398:AK398"/>
    <mergeCell ref="A405:AE405"/>
    <mergeCell ref="AG405:AK405"/>
    <mergeCell ref="A176:AE176"/>
    <mergeCell ref="A177:AE177"/>
    <mergeCell ref="A184:AE184"/>
    <mergeCell ref="A191:AE191"/>
    <mergeCell ref="A198:AE198"/>
    <mergeCell ref="A205:AE205"/>
    <mergeCell ref="A212:AE212"/>
    <mergeCell ref="A398:AE398"/>
    <mergeCell ref="AG205:AK205"/>
    <mergeCell ref="A240:AE240"/>
    <mergeCell ref="A350:AE350"/>
    <mergeCell ref="A363:R368"/>
    <mergeCell ref="A310:AE310"/>
    <mergeCell ref="A317:AE317"/>
    <mergeCell ref="A324:AE324"/>
    <mergeCell ref="A331:AE331"/>
    <mergeCell ref="A344:R349"/>
    <mergeCell ref="A282:AE282"/>
    <mergeCell ref="A289:AE289"/>
    <mergeCell ref="A296:AE296"/>
    <mergeCell ref="A303:AE303"/>
    <mergeCell ref="I43:I45"/>
    <mergeCell ref="J43:J45"/>
    <mergeCell ref="A55:AE55"/>
    <mergeCell ref="A62:AE62"/>
    <mergeCell ref="A69:AE69"/>
    <mergeCell ref="A76:AE76"/>
    <mergeCell ref="AB43:AB45"/>
    <mergeCell ref="A83:AE83"/>
    <mergeCell ref="A90:AE90"/>
    <mergeCell ref="K43:L44"/>
    <mergeCell ref="AC43:AC45"/>
    <mergeCell ref="AD43:AD45"/>
    <mergeCell ref="AE43:AE45"/>
    <mergeCell ref="A47:AE47"/>
    <mergeCell ref="A48:AE48"/>
    <mergeCell ref="N43:N45"/>
    <mergeCell ref="O43:Q44"/>
    <mergeCell ref="R43:R45"/>
    <mergeCell ref="S43:U44"/>
    <mergeCell ref="A131:AE131"/>
    <mergeCell ref="A219:AE219"/>
    <mergeCell ref="A419:AE419"/>
    <mergeCell ref="A426:AE426"/>
    <mergeCell ref="A433:AE433"/>
    <mergeCell ref="A369:AE369"/>
    <mergeCell ref="A370:AE370"/>
    <mergeCell ref="A377:AE377"/>
    <mergeCell ref="A384:AE384"/>
    <mergeCell ref="A391:AE391"/>
    <mergeCell ref="A412:AE412"/>
    <mergeCell ref="A247:AE247"/>
    <mergeCell ref="A254:AE254"/>
    <mergeCell ref="A261:AE261"/>
    <mergeCell ref="A268:AE268"/>
    <mergeCell ref="A275:AE275"/>
    <mergeCell ref="A27:AE27"/>
    <mergeCell ref="A28:AE28"/>
    <mergeCell ref="A226:AE226"/>
    <mergeCell ref="A233:AE233"/>
    <mergeCell ref="A151:R156"/>
    <mergeCell ref="A157:AE157"/>
    <mergeCell ref="A138:AE138"/>
    <mergeCell ref="A170:R175"/>
    <mergeCell ref="V43:X44"/>
    <mergeCell ref="Y43:AA44"/>
    <mergeCell ref="M43:M45"/>
    <mergeCell ref="A43:A45"/>
    <mergeCell ref="B43:B45"/>
    <mergeCell ref="C43:C45"/>
    <mergeCell ref="D43:D45"/>
    <mergeCell ref="E43:E45"/>
    <mergeCell ref="F43:F45"/>
    <mergeCell ref="G43:G45"/>
    <mergeCell ref="H43:H45"/>
    <mergeCell ref="A97:AE97"/>
    <mergeCell ref="A104:AE104"/>
    <mergeCell ref="A111:AE111"/>
    <mergeCell ref="A124:R129"/>
    <mergeCell ref="A130:AE130"/>
    <mergeCell ref="A32:AE32"/>
    <mergeCell ref="A34:AF34"/>
    <mergeCell ref="A35:AE35"/>
    <mergeCell ref="A38:AE38"/>
    <mergeCell ref="A40:AF40"/>
    <mergeCell ref="A1:AE1"/>
    <mergeCell ref="A3:AE3"/>
    <mergeCell ref="A4:AE4"/>
    <mergeCell ref="A6:AE6"/>
    <mergeCell ref="A7:AE7"/>
    <mergeCell ref="A10:AE10"/>
    <mergeCell ref="A11:AE11"/>
    <mergeCell ref="A12:AE12"/>
    <mergeCell ref="A15:AE15"/>
    <mergeCell ref="A19:AE19"/>
    <mergeCell ref="A20:AE20"/>
    <mergeCell ref="A22:AE22"/>
    <mergeCell ref="A30:AE30"/>
    <mergeCell ref="A37:AE37"/>
    <mergeCell ref="A9:AE9"/>
    <mergeCell ref="A13:AE13"/>
    <mergeCell ref="A17:AE17"/>
    <mergeCell ref="A24:AE24"/>
    <mergeCell ref="A26:AE26"/>
  </mergeCells>
  <pageMargins left="0.31496062992125984" right="0.31496062992125984" top="0.78740157480314965" bottom="0.55118110236220474" header="0.31496062992125984" footer="0.31496062992125984"/>
  <pageSetup paperSize="9" firstPageNumber="92" orientation="landscape" useFirstPageNumber="1" r:id="rId1"/>
  <headerFooter>
    <oddFooter>&amp;R&amp;P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N623"/>
  <sheetViews>
    <sheetView view="pageBreakPreview" zoomScaleNormal="100" zoomScaleSheetLayoutView="100" workbookViewId="0">
      <selection activeCell="T628" sqref="T628"/>
    </sheetView>
  </sheetViews>
  <sheetFormatPr defaultRowHeight="15" x14ac:dyDescent="0.25"/>
  <cols>
    <col min="1" max="1" width="5.42578125" style="253" customWidth="1"/>
    <col min="2" max="2" width="10" customWidth="1"/>
    <col min="3" max="3" width="6.85546875" customWidth="1"/>
    <col min="4" max="4" width="5.140625" customWidth="1"/>
    <col min="5" max="5" width="5" customWidth="1"/>
    <col min="6" max="6" width="4.140625" customWidth="1"/>
    <col min="7" max="7" width="4" customWidth="1"/>
    <col min="8" max="8" width="4.5703125" customWidth="1"/>
    <col min="9" max="9" width="4.140625" customWidth="1"/>
    <col min="10" max="10" width="3.7109375" customWidth="1"/>
    <col min="11" max="11" width="3.85546875" customWidth="1"/>
    <col min="12" max="12" width="4.42578125" customWidth="1"/>
    <col min="13" max="13" width="4.5703125" customWidth="1"/>
    <col min="14" max="14" width="3.140625" customWidth="1"/>
    <col min="15" max="15" width="2.85546875" customWidth="1"/>
    <col min="16" max="16" width="3.140625" customWidth="1"/>
    <col min="17" max="18" width="5.7109375" customWidth="1"/>
    <col min="19" max="19" width="5.5703125" customWidth="1"/>
    <col min="20" max="20" width="4.7109375" customWidth="1"/>
    <col min="21" max="21" width="5" customWidth="1"/>
    <col min="22" max="22" width="6" hidden="1" customWidth="1"/>
    <col min="23" max="23" width="6.85546875" hidden="1" customWidth="1"/>
    <col min="24" max="24" width="7.28515625" hidden="1" customWidth="1"/>
    <col min="25" max="25" width="6" hidden="1" customWidth="1"/>
    <col min="26" max="26" width="6.7109375" hidden="1" customWidth="1"/>
    <col min="27" max="27" width="6.28515625" hidden="1" customWidth="1"/>
    <col min="28" max="28" width="7" hidden="1" customWidth="1"/>
    <col min="29" max="29" width="7.28515625" hidden="1" customWidth="1"/>
    <col min="30" max="30" width="7.42578125" hidden="1" customWidth="1"/>
    <col min="31" max="31" width="12.7109375" customWidth="1"/>
    <col min="32" max="32" width="5.5703125" customWidth="1"/>
    <col min="33" max="33" width="7.140625" customWidth="1"/>
    <col min="34" max="34" width="8.42578125" customWidth="1"/>
    <col min="35" max="35" width="13" style="61" customWidth="1"/>
    <col min="36" max="36" width="12.42578125" style="61" customWidth="1"/>
    <col min="37" max="37" width="9.140625" style="61"/>
  </cols>
  <sheetData>
    <row r="1" spans="1:37" ht="18.75" x14ac:dyDescent="0.3">
      <c r="A1" s="974" t="s">
        <v>1126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974"/>
      <c r="M1" s="974"/>
      <c r="N1" s="974"/>
      <c r="O1" s="974"/>
      <c r="P1" s="974"/>
      <c r="Q1" s="974"/>
      <c r="R1" s="974"/>
      <c r="S1" s="974"/>
      <c r="T1" s="974"/>
      <c r="U1" s="974"/>
      <c r="V1" s="974"/>
      <c r="W1" s="974"/>
      <c r="X1" s="974"/>
      <c r="Y1" s="974"/>
      <c r="Z1" s="974"/>
      <c r="AA1" s="974"/>
      <c r="AB1" s="974"/>
      <c r="AC1" s="974"/>
      <c r="AD1" s="974"/>
      <c r="AE1" s="974"/>
      <c r="AF1" s="974"/>
      <c r="AG1" s="974"/>
      <c r="AH1" s="974"/>
    </row>
    <row r="2" spans="1:37" x14ac:dyDescent="0.25">
      <c r="A2" s="419"/>
      <c r="B2" s="61"/>
      <c r="C2" s="61"/>
      <c r="D2" s="61"/>
      <c r="E2" s="61"/>
      <c r="F2" s="419"/>
      <c r="G2" s="419"/>
      <c r="H2" s="61"/>
      <c r="I2" s="61"/>
      <c r="J2" s="61"/>
      <c r="K2" s="61"/>
      <c r="L2" s="61"/>
      <c r="M2" s="61"/>
      <c r="N2" s="61"/>
      <c r="O2" s="61"/>
      <c r="P2" s="61"/>
      <c r="Q2" s="419"/>
      <c r="R2" s="419"/>
      <c r="S2" s="419"/>
      <c r="T2" s="419"/>
      <c r="U2" s="419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</row>
    <row r="3" spans="1:37" s="322" customFormat="1" ht="15.75" x14ac:dyDescent="0.25">
      <c r="A3" s="420" t="s">
        <v>1039</v>
      </c>
      <c r="B3" s="278"/>
      <c r="C3" s="278"/>
      <c r="D3" s="278"/>
      <c r="E3" s="278"/>
      <c r="F3" s="420"/>
      <c r="G3" s="420"/>
      <c r="H3" s="278"/>
      <c r="I3" s="278"/>
      <c r="J3" s="278"/>
      <c r="K3" s="278"/>
      <c r="L3" s="278"/>
      <c r="M3" s="278"/>
      <c r="N3" s="278"/>
      <c r="O3" s="278"/>
      <c r="P3" s="278"/>
      <c r="Q3" s="420"/>
      <c r="R3" s="420"/>
      <c r="S3" s="420"/>
      <c r="T3" s="420"/>
      <c r="U3" s="420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78"/>
      <c r="AG3" s="278"/>
      <c r="AH3" s="278"/>
      <c r="AI3" s="61"/>
      <c r="AJ3" s="61"/>
      <c r="AK3" s="61"/>
    </row>
    <row r="4" spans="1:37" s="322" customFormat="1" ht="15.75" x14ac:dyDescent="0.25">
      <c r="A4" s="420" t="s">
        <v>1040</v>
      </c>
      <c r="B4" s="184"/>
      <c r="C4" s="184"/>
      <c r="D4" s="184"/>
      <c r="E4" s="184"/>
      <c r="F4" s="273"/>
      <c r="G4" s="273"/>
      <c r="H4" s="184"/>
      <c r="I4" s="184"/>
      <c r="J4" s="184"/>
      <c r="K4" s="184"/>
      <c r="L4" s="184"/>
      <c r="M4" s="184"/>
      <c r="N4" s="184"/>
      <c r="O4" s="184"/>
      <c r="P4" s="184"/>
      <c r="Q4" s="273"/>
      <c r="R4" s="273"/>
      <c r="S4" s="273"/>
      <c r="T4" s="273"/>
      <c r="U4" s="273"/>
      <c r="V4" s="184"/>
      <c r="W4" s="184"/>
      <c r="X4" s="184"/>
      <c r="Y4" s="184"/>
      <c r="Z4" s="184"/>
      <c r="AA4" s="184"/>
      <c r="AB4" s="184"/>
      <c r="AC4" s="184"/>
      <c r="AD4" s="184"/>
      <c r="AE4" s="184"/>
      <c r="AF4" s="184"/>
      <c r="AG4" s="184"/>
      <c r="AH4" s="184"/>
      <c r="AI4" s="61"/>
      <c r="AJ4" s="61"/>
      <c r="AK4" s="61"/>
    </row>
    <row r="5" spans="1:37" x14ac:dyDescent="0.25">
      <c r="A5" s="567"/>
      <c r="B5" s="61"/>
      <c r="C5" s="61"/>
      <c r="D5" s="61"/>
      <c r="E5" s="61"/>
      <c r="F5" s="419"/>
      <c r="G5" s="419"/>
      <c r="H5" s="61"/>
      <c r="I5" s="61"/>
      <c r="J5" s="61"/>
      <c r="K5" s="61"/>
      <c r="L5" s="61"/>
      <c r="M5" s="61"/>
      <c r="N5" s="61"/>
      <c r="O5" s="61"/>
      <c r="P5" s="61"/>
      <c r="Q5" s="419"/>
      <c r="R5" s="419"/>
      <c r="S5" s="421"/>
      <c r="T5" s="419"/>
      <c r="U5" s="419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</row>
    <row r="6" spans="1:37" s="427" customFormat="1" ht="36.75" customHeight="1" x14ac:dyDescent="0.3">
      <c r="A6" s="1043" t="s">
        <v>1041</v>
      </c>
      <c r="B6" s="1043"/>
      <c r="C6" s="1043"/>
      <c r="D6" s="1043"/>
      <c r="E6" s="1043"/>
      <c r="F6" s="1043"/>
      <c r="G6" s="1043"/>
      <c r="H6" s="1043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43"/>
      <c r="T6" s="1043"/>
      <c r="U6" s="1043"/>
      <c r="V6" s="1043"/>
      <c r="W6" s="1043"/>
      <c r="X6" s="1043"/>
      <c r="Y6" s="1043"/>
      <c r="Z6" s="1043"/>
      <c r="AA6" s="1043"/>
      <c r="AB6" s="1043"/>
      <c r="AC6" s="1043"/>
      <c r="AD6" s="1043"/>
      <c r="AE6" s="1043"/>
      <c r="AF6" s="1043"/>
      <c r="AG6" s="1043"/>
      <c r="AH6" s="1043"/>
      <c r="AI6" s="61"/>
      <c r="AJ6" s="61"/>
      <c r="AK6" s="61"/>
    </row>
    <row r="7" spans="1:37" s="427" customFormat="1" ht="15.75" customHeight="1" x14ac:dyDescent="0.3">
      <c r="A7" s="568"/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61"/>
      <c r="AJ7" s="61"/>
      <c r="AK7" s="61"/>
    </row>
    <row r="8" spans="1:37" s="427" customFormat="1" ht="18.75" x14ac:dyDescent="0.3">
      <c r="A8" s="974" t="s">
        <v>1042</v>
      </c>
      <c r="B8" s="974"/>
      <c r="C8" s="974"/>
      <c r="D8" s="974"/>
      <c r="E8" s="974"/>
      <c r="F8" s="974"/>
      <c r="G8" s="974"/>
      <c r="H8" s="974"/>
      <c r="I8" s="974"/>
      <c r="J8" s="974"/>
      <c r="K8" s="974"/>
      <c r="L8" s="974"/>
      <c r="M8" s="974"/>
      <c r="N8" s="974"/>
      <c r="O8" s="974"/>
      <c r="P8" s="974"/>
      <c r="Q8" s="974"/>
      <c r="R8" s="974"/>
      <c r="S8" s="974"/>
      <c r="T8" s="974"/>
      <c r="U8" s="974"/>
      <c r="V8" s="974"/>
      <c r="W8" s="974"/>
      <c r="X8" s="974"/>
      <c r="Y8" s="974"/>
      <c r="Z8" s="974"/>
      <c r="AA8" s="974"/>
      <c r="AB8" s="974"/>
      <c r="AC8" s="974"/>
      <c r="AD8" s="974"/>
      <c r="AE8" s="974"/>
      <c r="AF8" s="974"/>
      <c r="AG8" s="974"/>
      <c r="AH8" s="974"/>
      <c r="AI8" s="61"/>
      <c r="AJ8" s="61"/>
      <c r="AK8" s="61"/>
    </row>
    <row r="9" spans="1:37" s="427" customFormat="1" ht="11.25" customHeight="1" x14ac:dyDescent="0.3">
      <c r="A9" s="565"/>
      <c r="B9" s="354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/>
      <c r="AE9" s="354"/>
      <c r="AF9" s="354"/>
      <c r="AG9" s="354"/>
      <c r="AH9" s="354"/>
      <c r="AI9" s="61"/>
      <c r="AJ9" s="61"/>
      <c r="AK9" s="61"/>
    </row>
    <row r="10" spans="1:37" s="427" customFormat="1" ht="18.75" x14ac:dyDescent="0.3">
      <c r="A10" s="974" t="s">
        <v>1043</v>
      </c>
      <c r="B10" s="974"/>
      <c r="C10" s="974"/>
      <c r="D10" s="974"/>
      <c r="E10" s="974"/>
      <c r="F10" s="974"/>
      <c r="G10" s="974"/>
      <c r="H10" s="974"/>
      <c r="I10" s="974"/>
      <c r="J10" s="974"/>
      <c r="K10" s="974"/>
      <c r="L10" s="974"/>
      <c r="M10" s="974"/>
      <c r="N10" s="974"/>
      <c r="O10" s="974"/>
      <c r="P10" s="974"/>
      <c r="Q10" s="974"/>
      <c r="R10" s="974"/>
      <c r="S10" s="974"/>
      <c r="T10" s="974"/>
      <c r="U10" s="974"/>
      <c r="V10" s="974"/>
      <c r="W10" s="974"/>
      <c r="X10" s="974"/>
      <c r="Y10" s="974"/>
      <c r="Z10" s="974"/>
      <c r="AA10" s="974"/>
      <c r="AB10" s="974"/>
      <c r="AC10" s="974"/>
      <c r="AD10" s="974"/>
      <c r="AE10" s="974"/>
      <c r="AF10" s="974"/>
      <c r="AG10" s="974"/>
      <c r="AH10" s="974"/>
      <c r="AI10" s="61"/>
      <c r="AJ10" s="61"/>
      <c r="AK10" s="61"/>
    </row>
    <row r="11" spans="1:37" ht="15.75" x14ac:dyDescent="0.25">
      <c r="A11" s="569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</row>
    <row r="12" spans="1:37" x14ac:dyDescent="0.25">
      <c r="A12" s="419"/>
      <c r="B12" s="61" t="s">
        <v>1044</v>
      </c>
      <c r="C12" s="61"/>
      <c r="D12" s="61"/>
      <c r="E12" s="61"/>
      <c r="F12" s="419"/>
      <c r="G12" s="419"/>
      <c r="H12" s="61"/>
      <c r="I12" s="61"/>
      <c r="J12" s="61"/>
      <c r="K12" s="61"/>
      <c r="L12" s="61"/>
      <c r="M12" s="61"/>
      <c r="N12" s="61"/>
      <c r="O12" s="61"/>
      <c r="P12" s="61"/>
      <c r="Q12" s="419"/>
      <c r="R12" s="419"/>
      <c r="S12" s="419"/>
      <c r="T12" s="419"/>
      <c r="U12" s="419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</row>
    <row r="13" spans="1:37" x14ac:dyDescent="0.25">
      <c r="A13" s="419"/>
      <c r="B13" s="61" t="s">
        <v>1045</v>
      </c>
      <c r="C13" s="61"/>
      <c r="D13" s="61"/>
      <c r="E13" s="61"/>
      <c r="F13" s="419"/>
      <c r="G13" s="419"/>
      <c r="H13" s="61"/>
      <c r="I13" s="61"/>
      <c r="J13" s="61"/>
      <c r="K13" s="61"/>
      <c r="L13" s="61"/>
      <c r="M13" s="61"/>
      <c r="N13" s="61"/>
      <c r="O13" s="61"/>
      <c r="P13" s="61"/>
      <c r="Q13" s="419"/>
      <c r="R13" s="419"/>
      <c r="S13" s="419"/>
      <c r="T13" s="419"/>
      <c r="U13" s="419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</row>
    <row r="14" spans="1:37" x14ac:dyDescent="0.25">
      <c r="A14" s="419"/>
      <c r="B14" s="61" t="s">
        <v>1046</v>
      </c>
      <c r="C14" s="61"/>
      <c r="D14" s="61"/>
      <c r="E14" s="61"/>
      <c r="F14" s="419"/>
      <c r="G14" s="419"/>
      <c r="H14" s="61"/>
      <c r="I14" s="61"/>
      <c r="J14" s="61"/>
      <c r="K14" s="61"/>
      <c r="L14" s="61"/>
      <c r="M14" s="61"/>
      <c r="N14" s="61"/>
      <c r="O14" s="61"/>
      <c r="P14" s="61"/>
      <c r="Q14" s="419"/>
      <c r="R14" s="419"/>
      <c r="S14" s="419"/>
      <c r="T14" s="419"/>
      <c r="U14" s="419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</row>
    <row r="15" spans="1:37" x14ac:dyDescent="0.25">
      <c r="A15" s="419"/>
      <c r="B15" s="61" t="s">
        <v>1047</v>
      </c>
      <c r="C15" s="61"/>
      <c r="D15" s="61"/>
      <c r="E15" s="61"/>
      <c r="F15" s="419"/>
      <c r="G15" s="419"/>
      <c r="H15" s="61"/>
      <c r="I15" s="61"/>
      <c r="J15" s="61"/>
      <c r="K15" s="61"/>
      <c r="L15" s="61"/>
      <c r="M15" s="61"/>
      <c r="N15" s="61"/>
      <c r="O15" s="61"/>
      <c r="P15" s="61"/>
      <c r="Q15" s="419"/>
      <c r="R15" s="419"/>
      <c r="S15" s="419"/>
      <c r="T15" s="419"/>
      <c r="U15" s="419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</row>
    <row r="16" spans="1:37" x14ac:dyDescent="0.25">
      <c r="A16" s="419"/>
      <c r="B16" s="61" t="s">
        <v>1048</v>
      </c>
      <c r="C16" s="61"/>
      <c r="D16" s="61"/>
      <c r="E16" s="61"/>
      <c r="F16" s="419"/>
      <c r="G16" s="419"/>
      <c r="H16" s="61"/>
      <c r="I16" s="61"/>
      <c r="J16" s="61"/>
      <c r="K16" s="61"/>
      <c r="L16" s="61"/>
      <c r="M16" s="61"/>
      <c r="N16" s="61"/>
      <c r="O16" s="61"/>
      <c r="P16" s="61"/>
      <c r="Q16" s="419"/>
      <c r="R16" s="419"/>
      <c r="S16" s="419"/>
      <c r="T16" s="419"/>
      <c r="U16" s="419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</row>
    <row r="17" spans="1:37" x14ac:dyDescent="0.25">
      <c r="A17" s="419"/>
      <c r="B17" s="61" t="s">
        <v>1049</v>
      </c>
      <c r="C17" s="61"/>
      <c r="D17" s="61"/>
      <c r="E17" s="61"/>
      <c r="F17" s="419"/>
      <c r="G17" s="419"/>
      <c r="H17" s="61"/>
      <c r="I17" s="61"/>
      <c r="J17" s="61"/>
      <c r="K17" s="61"/>
      <c r="L17" s="61"/>
      <c r="M17" s="61"/>
      <c r="N17" s="61"/>
      <c r="O17" s="61"/>
      <c r="P17" s="61"/>
      <c r="Q17" s="419"/>
      <c r="R17" s="419"/>
      <c r="S17" s="419"/>
      <c r="T17" s="419"/>
      <c r="U17" s="419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</row>
    <row r="18" spans="1:37" x14ac:dyDescent="0.25">
      <c r="A18" s="423"/>
      <c r="B18" s="422"/>
      <c r="C18" s="422"/>
      <c r="D18" s="422"/>
      <c r="E18" s="422"/>
      <c r="F18" s="423"/>
      <c r="G18" s="423"/>
      <c r="H18" s="422"/>
      <c r="I18" s="422"/>
      <c r="J18" s="422"/>
      <c r="K18" s="422"/>
      <c r="L18" s="422"/>
      <c r="M18" s="422"/>
      <c r="N18" s="422"/>
      <c r="O18" s="422"/>
      <c r="P18" s="422"/>
      <c r="Q18" s="423"/>
      <c r="R18" s="423"/>
      <c r="S18" s="423"/>
      <c r="T18" s="423"/>
      <c r="U18" s="423"/>
      <c r="V18" s="422"/>
      <c r="W18" s="422"/>
      <c r="X18" s="422"/>
      <c r="Y18" s="422"/>
      <c r="Z18" s="422"/>
      <c r="AA18" s="422"/>
      <c r="AB18" s="422"/>
      <c r="AC18" s="422"/>
      <c r="AD18" s="422"/>
      <c r="AE18" s="422"/>
      <c r="AF18" s="422"/>
      <c r="AG18" s="422"/>
      <c r="AH18" s="422"/>
    </row>
    <row r="19" spans="1:37" s="427" customFormat="1" ht="34.5" customHeight="1" x14ac:dyDescent="0.3">
      <c r="A19" s="1041" t="s">
        <v>1061</v>
      </c>
      <c r="B19" s="1041"/>
      <c r="C19" s="1041"/>
      <c r="D19" s="1041"/>
      <c r="E19" s="1041"/>
      <c r="F19" s="1041"/>
      <c r="G19" s="1041"/>
      <c r="H19" s="1041"/>
      <c r="I19" s="1041"/>
      <c r="J19" s="1041"/>
      <c r="K19" s="1041"/>
      <c r="L19" s="1041"/>
      <c r="M19" s="1041"/>
      <c r="N19" s="1041"/>
      <c r="O19" s="1041"/>
      <c r="P19" s="1041"/>
      <c r="Q19" s="1041"/>
      <c r="R19" s="1041"/>
      <c r="S19" s="1041"/>
      <c r="T19" s="1041"/>
      <c r="U19" s="1041"/>
      <c r="V19" s="1041"/>
      <c r="W19" s="1041"/>
      <c r="X19" s="1041"/>
      <c r="Y19" s="1041"/>
      <c r="Z19" s="1041"/>
      <c r="AA19" s="1041"/>
      <c r="AB19" s="1041"/>
      <c r="AC19" s="1041"/>
      <c r="AD19" s="1041"/>
      <c r="AE19" s="1041"/>
      <c r="AF19" s="1041"/>
      <c r="AG19" s="1041"/>
      <c r="AH19" s="1041"/>
      <c r="AI19" s="61"/>
      <c r="AJ19" s="61"/>
      <c r="AK19" s="61"/>
    </row>
    <row r="20" spans="1:37" s="427" customFormat="1" ht="13.5" customHeight="1" x14ac:dyDescent="0.3">
      <c r="A20" s="320"/>
      <c r="B20" s="192"/>
      <c r="C20" s="192"/>
      <c r="D20" s="192"/>
      <c r="E20" s="192"/>
      <c r="F20" s="320"/>
      <c r="G20" s="320"/>
      <c r="H20" s="192"/>
      <c r="I20" s="192"/>
      <c r="J20" s="192"/>
      <c r="K20" s="192"/>
      <c r="L20" s="192"/>
      <c r="M20" s="192"/>
      <c r="N20" s="192"/>
      <c r="O20" s="192"/>
      <c r="P20" s="192"/>
      <c r="Q20" s="320"/>
      <c r="R20" s="320"/>
      <c r="S20" s="320"/>
      <c r="T20" s="320"/>
      <c r="U20" s="320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61"/>
      <c r="AJ20" s="61"/>
      <c r="AK20" s="61"/>
    </row>
    <row r="21" spans="1:37" s="427" customFormat="1" ht="20.25" customHeight="1" x14ac:dyDescent="0.3">
      <c r="A21" s="974" t="s">
        <v>1060</v>
      </c>
      <c r="B21" s="974"/>
      <c r="C21" s="974"/>
      <c r="D21" s="974"/>
      <c r="E21" s="974"/>
      <c r="F21" s="974"/>
      <c r="G21" s="974"/>
      <c r="H21" s="974"/>
      <c r="I21" s="974"/>
      <c r="J21" s="974"/>
      <c r="K21" s="974"/>
      <c r="L21" s="974"/>
      <c r="M21" s="974"/>
      <c r="N21" s="974"/>
      <c r="O21" s="974"/>
      <c r="P21" s="974"/>
      <c r="Q21" s="974"/>
      <c r="R21" s="974"/>
      <c r="S21" s="974"/>
      <c r="T21" s="974"/>
      <c r="U21" s="974"/>
      <c r="V21" s="974"/>
      <c r="W21" s="974"/>
      <c r="X21" s="974"/>
      <c r="Y21" s="974"/>
      <c r="Z21" s="974"/>
      <c r="AA21" s="974"/>
      <c r="AB21" s="974"/>
      <c r="AC21" s="974"/>
      <c r="AD21" s="974"/>
      <c r="AE21" s="974"/>
      <c r="AF21" s="974"/>
      <c r="AG21" s="974"/>
      <c r="AH21" s="974"/>
      <c r="AI21" s="61"/>
      <c r="AJ21" s="61"/>
      <c r="AK21" s="61"/>
    </row>
    <row r="22" spans="1:37" s="427" customFormat="1" ht="12.75" customHeight="1" x14ac:dyDescent="0.3">
      <c r="A22" s="565"/>
      <c r="B22" s="354"/>
      <c r="C22" s="354"/>
      <c r="D22" s="354"/>
      <c r="E22" s="354"/>
      <c r="F22" s="354"/>
      <c r="G22" s="354"/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354"/>
      <c r="S22" s="354"/>
      <c r="T22" s="354"/>
      <c r="U22" s="354"/>
      <c r="V22" s="354"/>
      <c r="W22" s="354"/>
      <c r="X22" s="354"/>
      <c r="Y22" s="354"/>
      <c r="Z22" s="354"/>
      <c r="AA22" s="354"/>
      <c r="AB22" s="354"/>
      <c r="AC22" s="354"/>
      <c r="AD22" s="354"/>
      <c r="AE22" s="354"/>
      <c r="AF22" s="354"/>
      <c r="AG22" s="354"/>
      <c r="AH22" s="354"/>
      <c r="AI22" s="61"/>
      <c r="AJ22" s="61"/>
      <c r="AK22" s="61"/>
    </row>
    <row r="23" spans="1:37" ht="12" customHeight="1" x14ac:dyDescent="0.25">
      <c r="A23" s="419"/>
      <c r="B23" s="61" t="s">
        <v>1050</v>
      </c>
      <c r="C23" s="61"/>
      <c r="D23" s="61"/>
      <c r="E23" s="61"/>
      <c r="F23" s="419"/>
      <c r="G23" s="419"/>
      <c r="H23" s="61"/>
      <c r="I23" s="61"/>
      <c r="J23" s="61"/>
      <c r="K23" s="61"/>
      <c r="L23" s="61"/>
      <c r="M23" s="61"/>
      <c r="N23" s="61"/>
      <c r="O23" s="61"/>
      <c r="P23" s="61"/>
      <c r="Q23" s="419"/>
      <c r="R23" s="419"/>
      <c r="S23" s="419"/>
      <c r="T23" s="419"/>
      <c r="U23" s="419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</row>
    <row r="24" spans="1:37" ht="12" customHeight="1" x14ac:dyDescent="0.25">
      <c r="A24" s="419"/>
      <c r="B24" s="61" t="s">
        <v>1051</v>
      </c>
      <c r="C24" s="61"/>
      <c r="D24" s="61"/>
      <c r="E24" s="61"/>
      <c r="F24" s="419"/>
      <c r="G24" s="419"/>
      <c r="H24" s="61"/>
      <c r="I24" s="61"/>
      <c r="J24" s="61"/>
      <c r="K24" s="61"/>
      <c r="L24" s="61"/>
      <c r="M24" s="61"/>
      <c r="N24" s="61"/>
      <c r="O24" s="61"/>
      <c r="P24" s="61"/>
      <c r="Q24" s="419"/>
      <c r="R24" s="419"/>
      <c r="S24" s="419"/>
      <c r="T24" s="419"/>
      <c r="U24" s="419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</row>
    <row r="25" spans="1:37" ht="12" customHeight="1" x14ac:dyDescent="0.25">
      <c r="A25" s="419"/>
      <c r="B25" s="61" t="s">
        <v>1052</v>
      </c>
      <c r="C25" s="61"/>
      <c r="D25" s="61"/>
      <c r="E25" s="61"/>
      <c r="F25" s="419"/>
      <c r="G25" s="419"/>
      <c r="H25" s="61"/>
      <c r="I25" s="61"/>
      <c r="J25" s="61"/>
      <c r="K25" s="61"/>
      <c r="L25" s="61"/>
      <c r="M25" s="61"/>
      <c r="N25" s="61"/>
      <c r="O25" s="61"/>
      <c r="P25" s="61"/>
      <c r="Q25" s="419"/>
      <c r="R25" s="419"/>
      <c r="S25" s="419"/>
      <c r="T25" s="419"/>
      <c r="U25" s="419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</row>
    <row r="26" spans="1:37" ht="12" customHeight="1" x14ac:dyDescent="0.25">
      <c r="A26" s="419"/>
      <c r="B26" s="61" t="s">
        <v>1053</v>
      </c>
      <c r="C26" s="61"/>
      <c r="D26" s="61"/>
      <c r="E26" s="61"/>
      <c r="F26" s="419"/>
      <c r="G26" s="419"/>
      <c r="H26" s="61"/>
      <c r="I26" s="61"/>
      <c r="J26" s="61"/>
      <c r="K26" s="61"/>
      <c r="L26" s="61"/>
      <c r="M26" s="61"/>
      <c r="N26" s="61"/>
      <c r="O26" s="61"/>
      <c r="P26" s="61"/>
      <c r="Q26" s="419"/>
      <c r="R26" s="419"/>
      <c r="S26" s="419"/>
      <c r="T26" s="419"/>
      <c r="U26" s="419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</row>
    <row r="27" spans="1:37" ht="12" customHeight="1" x14ac:dyDescent="0.25">
      <c r="A27" s="419"/>
      <c r="B27" s="61" t="s">
        <v>1054</v>
      </c>
      <c r="C27" s="61"/>
      <c r="D27" s="61"/>
      <c r="E27" s="61"/>
      <c r="F27" s="419"/>
      <c r="G27" s="419"/>
      <c r="H27" s="61"/>
      <c r="I27" s="61"/>
      <c r="J27" s="61"/>
      <c r="K27" s="61"/>
      <c r="L27" s="61"/>
      <c r="M27" s="61"/>
      <c r="N27" s="61"/>
      <c r="O27" s="61"/>
      <c r="P27" s="61"/>
      <c r="Q27" s="419"/>
      <c r="R27" s="419"/>
      <c r="S27" s="419"/>
      <c r="T27" s="419"/>
      <c r="U27" s="419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</row>
    <row r="28" spans="1:37" ht="18.75" customHeight="1" x14ac:dyDescent="0.25">
      <c r="A28" s="423"/>
      <c r="B28" s="422"/>
      <c r="C28" s="422"/>
      <c r="D28" s="422"/>
      <c r="E28" s="422"/>
      <c r="F28" s="423"/>
      <c r="G28" s="423"/>
      <c r="H28" s="422"/>
      <c r="I28" s="422"/>
      <c r="J28" s="422"/>
      <c r="K28" s="422"/>
      <c r="L28" s="422"/>
      <c r="M28" s="422"/>
      <c r="N28" s="422"/>
      <c r="O28" s="422"/>
      <c r="P28" s="422"/>
      <c r="Q28" s="423"/>
      <c r="R28" s="423"/>
      <c r="S28" s="423"/>
      <c r="T28" s="423"/>
      <c r="U28" s="423"/>
      <c r="V28" s="422"/>
      <c r="W28" s="422"/>
      <c r="X28" s="422"/>
      <c r="Y28" s="422"/>
      <c r="Z28" s="422"/>
      <c r="AA28" s="422"/>
      <c r="AB28" s="422"/>
      <c r="AC28" s="422"/>
      <c r="AD28" s="422"/>
      <c r="AE28" s="422"/>
      <c r="AF28" s="422"/>
      <c r="AG28" s="422"/>
      <c r="AH28" s="422"/>
    </row>
    <row r="29" spans="1:37" s="427" customFormat="1" ht="32.25" customHeight="1" x14ac:dyDescent="0.3">
      <c r="A29" s="1041" t="s">
        <v>1062</v>
      </c>
      <c r="B29" s="1041"/>
      <c r="C29" s="1041"/>
      <c r="D29" s="1041"/>
      <c r="E29" s="1041"/>
      <c r="F29" s="1041"/>
      <c r="G29" s="1041"/>
      <c r="H29" s="1041"/>
      <c r="I29" s="1041"/>
      <c r="J29" s="1041"/>
      <c r="K29" s="1041"/>
      <c r="L29" s="1041"/>
      <c r="M29" s="1041"/>
      <c r="N29" s="1041"/>
      <c r="O29" s="1041"/>
      <c r="P29" s="1041"/>
      <c r="Q29" s="1041"/>
      <c r="R29" s="1041"/>
      <c r="S29" s="1041"/>
      <c r="T29" s="1041"/>
      <c r="U29" s="1041"/>
      <c r="V29" s="1041"/>
      <c r="W29" s="1041"/>
      <c r="X29" s="1041"/>
      <c r="Y29" s="1041"/>
      <c r="Z29" s="1041"/>
      <c r="AA29" s="1041"/>
      <c r="AB29" s="1041"/>
      <c r="AC29" s="1041"/>
      <c r="AD29" s="1041"/>
      <c r="AE29" s="1041"/>
      <c r="AF29" s="1041"/>
      <c r="AG29" s="1041"/>
      <c r="AH29" s="1041"/>
      <c r="AI29" s="61"/>
      <c r="AJ29" s="61"/>
      <c r="AK29" s="61"/>
    </row>
    <row r="30" spans="1:37" s="427" customFormat="1" ht="18.75" x14ac:dyDescent="0.3">
      <c r="A30" s="974" t="s">
        <v>1055</v>
      </c>
      <c r="B30" s="974"/>
      <c r="C30" s="974"/>
      <c r="D30" s="974"/>
      <c r="E30" s="974"/>
      <c r="F30" s="974"/>
      <c r="G30" s="974"/>
      <c r="H30" s="974"/>
      <c r="I30" s="974"/>
      <c r="J30" s="974"/>
      <c r="K30" s="974"/>
      <c r="L30" s="974"/>
      <c r="M30" s="974"/>
      <c r="N30" s="974"/>
      <c r="O30" s="974"/>
      <c r="P30" s="974"/>
      <c r="Q30" s="974"/>
      <c r="R30" s="974"/>
      <c r="S30" s="974"/>
      <c r="T30" s="974"/>
      <c r="U30" s="974"/>
      <c r="V30" s="974"/>
      <c r="W30" s="974"/>
      <c r="X30" s="974"/>
      <c r="Y30" s="974"/>
      <c r="Z30" s="974"/>
      <c r="AA30" s="974"/>
      <c r="AB30" s="974"/>
      <c r="AC30" s="974"/>
      <c r="AD30" s="974"/>
      <c r="AE30" s="974"/>
      <c r="AF30" s="974"/>
      <c r="AG30" s="974"/>
      <c r="AH30" s="974"/>
      <c r="AI30" s="61"/>
      <c r="AJ30" s="61"/>
      <c r="AK30" s="61"/>
    </row>
    <row r="31" spans="1:37" s="427" customFormat="1" ht="18.75" x14ac:dyDescent="0.3">
      <c r="A31" s="320" t="s">
        <v>1056</v>
      </c>
      <c r="B31" s="428"/>
      <c r="C31" s="428"/>
      <c r="D31" s="428"/>
      <c r="E31" s="428"/>
      <c r="F31" s="276"/>
      <c r="G31" s="276"/>
      <c r="H31" s="428"/>
      <c r="I31" s="428"/>
      <c r="J31" s="428"/>
      <c r="K31" s="428"/>
      <c r="L31" s="428"/>
      <c r="M31" s="428"/>
      <c r="N31" s="428"/>
      <c r="O31" s="428"/>
      <c r="P31" s="428"/>
      <c r="Q31" s="276"/>
      <c r="R31" s="276"/>
      <c r="S31" s="276"/>
      <c r="T31" s="276"/>
      <c r="U31" s="276"/>
      <c r="V31" s="428"/>
      <c r="W31" s="428"/>
      <c r="X31" s="428"/>
      <c r="Y31" s="428"/>
      <c r="Z31" s="428"/>
      <c r="AA31" s="428"/>
      <c r="AB31" s="428"/>
      <c r="AC31" s="428"/>
      <c r="AD31" s="428"/>
      <c r="AE31" s="428"/>
      <c r="AF31" s="428"/>
      <c r="AG31" s="428"/>
      <c r="AH31" s="428"/>
      <c r="AI31" s="61"/>
      <c r="AJ31" s="61"/>
      <c r="AK31" s="61"/>
    </row>
    <row r="32" spans="1:37" s="427" customFormat="1" ht="12" customHeight="1" x14ac:dyDescent="0.3">
      <c r="A32" s="320"/>
      <c r="B32" s="428"/>
      <c r="C32" s="428"/>
      <c r="D32" s="428"/>
      <c r="E32" s="428"/>
      <c r="F32" s="276"/>
      <c r="G32" s="276"/>
      <c r="H32" s="428"/>
      <c r="I32" s="428"/>
      <c r="J32" s="428"/>
      <c r="K32" s="428"/>
      <c r="L32" s="428"/>
      <c r="M32" s="428"/>
      <c r="N32" s="428"/>
      <c r="O32" s="428"/>
      <c r="P32" s="428"/>
      <c r="Q32" s="276"/>
      <c r="R32" s="276"/>
      <c r="S32" s="276"/>
      <c r="T32" s="276"/>
      <c r="U32" s="276"/>
      <c r="V32" s="428"/>
      <c r="W32" s="428"/>
      <c r="X32" s="428"/>
      <c r="Y32" s="428"/>
      <c r="Z32" s="428"/>
      <c r="AA32" s="428"/>
      <c r="AB32" s="428"/>
      <c r="AC32" s="428"/>
      <c r="AD32" s="428"/>
      <c r="AE32" s="428"/>
      <c r="AF32" s="428"/>
      <c r="AG32" s="428"/>
      <c r="AH32" s="428"/>
      <c r="AI32" s="61"/>
      <c r="AJ32" s="61"/>
      <c r="AK32" s="61"/>
    </row>
    <row r="33" spans="1:37" s="427" customFormat="1" ht="15" customHeight="1" x14ac:dyDescent="0.3">
      <c r="A33" s="974" t="s">
        <v>1057</v>
      </c>
      <c r="B33" s="974"/>
      <c r="C33" s="974"/>
      <c r="D33" s="974"/>
      <c r="E33" s="974"/>
      <c r="F33" s="974"/>
      <c r="G33" s="974"/>
      <c r="H33" s="974"/>
      <c r="I33" s="974"/>
      <c r="J33" s="974"/>
      <c r="K33" s="974"/>
      <c r="L33" s="974"/>
      <c r="M33" s="974"/>
      <c r="N33" s="974"/>
      <c r="O33" s="974"/>
      <c r="P33" s="974"/>
      <c r="Q33" s="974"/>
      <c r="R33" s="974"/>
      <c r="S33" s="974"/>
      <c r="T33" s="974"/>
      <c r="U33" s="974"/>
      <c r="V33" s="974"/>
      <c r="W33" s="974"/>
      <c r="X33" s="974"/>
      <c r="Y33" s="974"/>
      <c r="Z33" s="974"/>
      <c r="AA33" s="974"/>
      <c r="AB33" s="974"/>
      <c r="AC33" s="974"/>
      <c r="AD33" s="974"/>
      <c r="AE33" s="974"/>
      <c r="AF33" s="974"/>
      <c r="AG33" s="974"/>
      <c r="AH33" s="974"/>
      <c r="AI33" s="61"/>
      <c r="AJ33" s="61"/>
      <c r="AK33" s="61"/>
    </row>
    <row r="34" spans="1:37" s="427" customFormat="1" ht="15" customHeight="1" x14ac:dyDescent="0.3">
      <c r="A34" s="354"/>
      <c r="B34" s="354"/>
      <c r="C34" s="354"/>
      <c r="D34" s="354"/>
      <c r="E34" s="354"/>
      <c r="F34" s="354"/>
      <c r="G34" s="354"/>
      <c r="H34" s="354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4"/>
      <c r="Y34" s="354"/>
      <c r="Z34" s="354"/>
      <c r="AA34" s="354"/>
      <c r="AB34" s="354"/>
      <c r="AC34" s="354"/>
      <c r="AD34" s="354"/>
      <c r="AE34" s="354"/>
      <c r="AF34" s="354"/>
      <c r="AG34" s="354"/>
      <c r="AH34" s="354"/>
      <c r="AI34" s="61"/>
      <c r="AJ34" s="61"/>
      <c r="AK34" s="61"/>
    </row>
    <row r="35" spans="1:37" s="750" customFormat="1" ht="20.25" customHeight="1" x14ac:dyDescent="0.25">
      <c r="A35" s="1433" t="s">
        <v>1520</v>
      </c>
      <c r="B35" s="1433"/>
      <c r="C35" s="1433"/>
      <c r="D35" s="1433"/>
      <c r="E35" s="1433"/>
      <c r="F35" s="1433"/>
      <c r="G35" s="1433"/>
      <c r="H35" s="1433"/>
      <c r="I35" s="1433"/>
      <c r="J35" s="1433"/>
      <c r="K35" s="1433"/>
      <c r="L35" s="1433"/>
      <c r="M35" s="1433"/>
      <c r="N35" s="1433"/>
      <c r="O35" s="1433"/>
      <c r="P35" s="1433"/>
      <c r="Q35" s="1433"/>
      <c r="R35" s="1433"/>
      <c r="S35" s="1433"/>
      <c r="T35" s="1433"/>
      <c r="U35" s="1433"/>
      <c r="V35" s="1433"/>
      <c r="W35" s="1433"/>
      <c r="X35" s="1433"/>
      <c r="Y35" s="1433"/>
      <c r="Z35" s="1433"/>
      <c r="AA35" s="1433"/>
      <c r="AB35" s="1433"/>
      <c r="AC35" s="1433"/>
      <c r="AD35" s="1433"/>
      <c r="AE35" s="1433"/>
      <c r="AF35" s="1433"/>
      <c r="AG35" s="725"/>
      <c r="AH35" s="725"/>
      <c r="AI35" s="725"/>
      <c r="AJ35" s="725"/>
      <c r="AK35" s="725"/>
    </row>
    <row r="36" spans="1:37" s="427" customFormat="1" ht="9.75" customHeight="1" x14ac:dyDescent="0.3">
      <c r="A36" s="565"/>
      <c r="B36" s="354"/>
      <c r="C36" s="354"/>
      <c r="D36" s="354"/>
      <c r="E36" s="354"/>
      <c r="F36" s="354"/>
      <c r="G36" s="354"/>
      <c r="H36" s="354"/>
      <c r="I36" s="354"/>
      <c r="J36" s="354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4"/>
      <c r="X36" s="354"/>
      <c r="Y36" s="354"/>
      <c r="Z36" s="354"/>
      <c r="AA36" s="354"/>
      <c r="AB36" s="354"/>
      <c r="AC36" s="354"/>
      <c r="AD36" s="354"/>
      <c r="AE36" s="354"/>
      <c r="AF36" s="354"/>
      <c r="AG36" s="354"/>
      <c r="AH36" s="354"/>
      <c r="AI36" s="61"/>
      <c r="AJ36" s="61"/>
      <c r="AK36" s="61"/>
    </row>
    <row r="37" spans="1:37" ht="15.75" x14ac:dyDescent="0.25">
      <c r="A37" s="1546" t="s">
        <v>1058</v>
      </c>
      <c r="B37" s="1546"/>
      <c r="C37" s="1546"/>
      <c r="D37" s="1546"/>
      <c r="E37" s="1546"/>
      <c r="F37" s="1546"/>
      <c r="G37" s="1546"/>
      <c r="H37" s="1546"/>
      <c r="I37" s="1546"/>
      <c r="J37" s="1546"/>
      <c r="K37" s="1546"/>
      <c r="L37" s="1546"/>
      <c r="M37" s="1546"/>
      <c r="N37" s="1546"/>
      <c r="O37" s="1546"/>
      <c r="P37" s="1546"/>
      <c r="Q37" s="1546"/>
      <c r="R37" s="1546"/>
      <c r="S37" s="1546"/>
      <c r="T37" s="1546"/>
      <c r="U37" s="1546"/>
      <c r="V37" s="1546"/>
      <c r="W37" s="1546"/>
      <c r="X37" s="1546"/>
      <c r="Y37" s="1546"/>
      <c r="Z37" s="1546"/>
      <c r="AA37" s="1546"/>
      <c r="AB37" s="1546"/>
      <c r="AC37" s="1546"/>
      <c r="AD37" s="1546"/>
      <c r="AE37" s="1546"/>
      <c r="AF37" s="1546"/>
      <c r="AG37" s="1546"/>
      <c r="AH37" s="1546"/>
    </row>
    <row r="38" spans="1:37" ht="13.5" customHeight="1" x14ac:dyDescent="0.25">
      <c r="A38" s="1547" t="s">
        <v>143</v>
      </c>
      <c r="B38" s="1550" t="s">
        <v>191</v>
      </c>
      <c r="C38" s="1287" t="s">
        <v>192</v>
      </c>
      <c r="D38" s="1429" t="s">
        <v>193</v>
      </c>
      <c r="E38" s="1429" t="s">
        <v>194</v>
      </c>
      <c r="F38" s="1554" t="s">
        <v>195</v>
      </c>
      <c r="G38" s="1554" t="s">
        <v>196</v>
      </c>
      <c r="H38" s="1555" t="s">
        <v>197</v>
      </c>
      <c r="I38" s="1556" t="s">
        <v>198</v>
      </c>
      <c r="J38" s="1557"/>
      <c r="K38" s="1558"/>
      <c r="L38" s="1429" t="s">
        <v>199</v>
      </c>
      <c r="M38" s="1287" t="s">
        <v>200</v>
      </c>
      <c r="N38" s="1562" t="s">
        <v>201</v>
      </c>
      <c r="O38" s="1563"/>
      <c r="P38" s="1564"/>
      <c r="Q38" s="1568" t="s">
        <v>202</v>
      </c>
      <c r="R38" s="1568" t="s">
        <v>203</v>
      </c>
      <c r="S38" s="1568"/>
      <c r="T38" s="1571" t="s">
        <v>204</v>
      </c>
      <c r="U38" s="1572"/>
      <c r="V38" s="1555" t="s">
        <v>205</v>
      </c>
      <c r="W38" s="1555"/>
      <c r="X38" s="1555"/>
      <c r="Y38" s="1555" t="s">
        <v>206</v>
      </c>
      <c r="Z38" s="1555"/>
      <c r="AA38" s="1555"/>
      <c r="AB38" s="1555" t="s">
        <v>207</v>
      </c>
      <c r="AC38" s="1555"/>
      <c r="AD38" s="1555"/>
      <c r="AE38" s="1575" t="s">
        <v>20</v>
      </c>
      <c r="AF38" s="1578" t="s">
        <v>91</v>
      </c>
      <c r="AG38" s="1543" t="s">
        <v>22</v>
      </c>
      <c r="AH38" s="1543" t="s">
        <v>23</v>
      </c>
    </row>
    <row r="39" spans="1:37" ht="10.5" customHeight="1" x14ac:dyDescent="0.25">
      <c r="A39" s="1548"/>
      <c r="B39" s="1551"/>
      <c r="C39" s="1553"/>
      <c r="D39" s="1429"/>
      <c r="E39" s="1429"/>
      <c r="F39" s="1554"/>
      <c r="G39" s="1554"/>
      <c r="H39" s="1555"/>
      <c r="I39" s="1559"/>
      <c r="J39" s="1560"/>
      <c r="K39" s="1561"/>
      <c r="L39" s="1429"/>
      <c r="M39" s="1553"/>
      <c r="N39" s="1565"/>
      <c r="O39" s="1566"/>
      <c r="P39" s="1567"/>
      <c r="Q39" s="1569"/>
      <c r="R39" s="1570"/>
      <c r="S39" s="1570"/>
      <c r="T39" s="1573"/>
      <c r="U39" s="1574"/>
      <c r="V39" s="1555"/>
      <c r="W39" s="1555"/>
      <c r="X39" s="1555"/>
      <c r="Y39" s="1555"/>
      <c r="Z39" s="1555"/>
      <c r="AA39" s="1555"/>
      <c r="AB39" s="1555"/>
      <c r="AC39" s="1555"/>
      <c r="AD39" s="1555"/>
      <c r="AE39" s="1576"/>
      <c r="AF39" s="1579"/>
      <c r="AG39" s="1544"/>
      <c r="AH39" s="1544"/>
    </row>
    <row r="40" spans="1:37" ht="22.5" customHeight="1" x14ac:dyDescent="0.25">
      <c r="A40" s="1549"/>
      <c r="B40" s="1552"/>
      <c r="C40" s="1428"/>
      <c r="D40" s="1429"/>
      <c r="E40" s="1429"/>
      <c r="F40" s="1554"/>
      <c r="G40" s="1554"/>
      <c r="H40" s="1555"/>
      <c r="I40" s="173" t="s">
        <v>208</v>
      </c>
      <c r="J40" s="173" t="s">
        <v>209</v>
      </c>
      <c r="K40" s="173" t="s">
        <v>210</v>
      </c>
      <c r="L40" s="1429"/>
      <c r="M40" s="1428"/>
      <c r="N40" s="173" t="s">
        <v>208</v>
      </c>
      <c r="O40" s="173" t="s">
        <v>209</v>
      </c>
      <c r="P40" s="173" t="s">
        <v>210</v>
      </c>
      <c r="Q40" s="1570"/>
      <c r="R40" s="117" t="s">
        <v>208</v>
      </c>
      <c r="S40" s="117" t="s">
        <v>210</v>
      </c>
      <c r="T40" s="117" t="s">
        <v>208</v>
      </c>
      <c r="U40" s="117" t="s">
        <v>210</v>
      </c>
      <c r="V40" s="175" t="s">
        <v>208</v>
      </c>
      <c r="W40" s="175" t="s">
        <v>209</v>
      </c>
      <c r="X40" s="175" t="s">
        <v>210</v>
      </c>
      <c r="Y40" s="175" t="s">
        <v>208</v>
      </c>
      <c r="Z40" s="175" t="s">
        <v>209</v>
      </c>
      <c r="AA40" s="175" t="s">
        <v>210</v>
      </c>
      <c r="AB40" s="175" t="s">
        <v>208</v>
      </c>
      <c r="AC40" s="175" t="s">
        <v>209</v>
      </c>
      <c r="AD40" s="175" t="s">
        <v>210</v>
      </c>
      <c r="AE40" s="1577"/>
      <c r="AF40" s="1580"/>
      <c r="AG40" s="1545"/>
      <c r="AH40" s="1545"/>
    </row>
    <row r="41" spans="1:37" ht="12.95" customHeight="1" x14ac:dyDescent="0.25">
      <c r="A41" s="424">
        <v>1</v>
      </c>
      <c r="B41" s="163">
        <v>2</v>
      </c>
      <c r="C41" s="163">
        <v>3</v>
      </c>
      <c r="D41" s="163">
        <v>4</v>
      </c>
      <c r="E41" s="163">
        <v>5</v>
      </c>
      <c r="F41" s="424">
        <v>6</v>
      </c>
      <c r="G41" s="424">
        <v>7</v>
      </c>
      <c r="H41" s="163">
        <v>8</v>
      </c>
      <c r="I41" s="163">
        <v>9</v>
      </c>
      <c r="J41" s="163">
        <v>10</v>
      </c>
      <c r="K41" s="163">
        <v>11</v>
      </c>
      <c r="L41" s="26">
        <v>12</v>
      </c>
      <c r="M41" s="26">
        <v>13</v>
      </c>
      <c r="N41" s="163">
        <v>14</v>
      </c>
      <c r="O41" s="163">
        <v>15</v>
      </c>
      <c r="P41" s="163">
        <v>16</v>
      </c>
      <c r="Q41" s="424">
        <v>17</v>
      </c>
      <c r="R41" s="52">
        <v>18</v>
      </c>
      <c r="S41" s="52">
        <v>19</v>
      </c>
      <c r="T41" s="52">
        <v>20</v>
      </c>
      <c r="U41" s="52">
        <v>21</v>
      </c>
      <c r="V41" s="26">
        <v>22</v>
      </c>
      <c r="W41" s="26">
        <v>23</v>
      </c>
      <c r="X41" s="26">
        <v>24</v>
      </c>
      <c r="Y41" s="26">
        <v>25</v>
      </c>
      <c r="Z41" s="26">
        <v>26</v>
      </c>
      <c r="AA41" s="26">
        <v>27</v>
      </c>
      <c r="AB41" s="26">
        <v>28</v>
      </c>
      <c r="AC41" s="26">
        <v>29</v>
      </c>
      <c r="AD41" s="26">
        <v>30</v>
      </c>
      <c r="AE41" s="425">
        <v>22</v>
      </c>
      <c r="AF41" s="177" t="s">
        <v>1059</v>
      </c>
      <c r="AG41" s="26">
        <v>24</v>
      </c>
      <c r="AH41" s="26">
        <v>25</v>
      </c>
    </row>
    <row r="42" spans="1:37" ht="12.95" customHeight="1" x14ac:dyDescent="0.25">
      <c r="A42" s="1527" t="s">
        <v>148</v>
      </c>
      <c r="B42" s="1528"/>
      <c r="C42" s="1528"/>
      <c r="D42" s="1528"/>
      <c r="E42" s="1528"/>
      <c r="F42" s="1528"/>
      <c r="G42" s="1528"/>
      <c r="H42" s="1528"/>
      <c r="I42" s="1528"/>
      <c r="J42" s="1528"/>
      <c r="K42" s="1528"/>
      <c r="L42" s="1528"/>
      <c r="M42" s="1528"/>
      <c r="N42" s="1528"/>
      <c r="O42" s="1528"/>
      <c r="P42" s="1528"/>
      <c r="Q42" s="1528"/>
      <c r="R42" s="1528"/>
      <c r="S42" s="1528"/>
      <c r="T42" s="1528"/>
      <c r="U42" s="1528"/>
      <c r="V42" s="1528"/>
      <c r="W42" s="1528"/>
      <c r="X42" s="1528"/>
      <c r="Y42" s="1528"/>
      <c r="Z42" s="1528"/>
      <c r="AA42" s="1528"/>
      <c r="AB42" s="1528"/>
      <c r="AC42" s="1528"/>
      <c r="AD42" s="1528"/>
      <c r="AE42" s="1528"/>
      <c r="AF42" s="1528"/>
      <c r="AG42" s="1528"/>
      <c r="AH42" s="1529"/>
    </row>
    <row r="43" spans="1:37" ht="12.95" customHeight="1" x14ac:dyDescent="0.25">
      <c r="A43" s="1530" t="s">
        <v>252</v>
      </c>
      <c r="B43" s="1531"/>
      <c r="C43" s="1531"/>
      <c r="D43" s="1531"/>
      <c r="E43" s="1531"/>
      <c r="F43" s="1531"/>
      <c r="G43" s="1531"/>
      <c r="H43" s="1531"/>
      <c r="I43" s="1531"/>
      <c r="J43" s="1531"/>
      <c r="K43" s="1531"/>
      <c r="L43" s="1531"/>
      <c r="M43" s="1531"/>
      <c r="N43" s="1531"/>
      <c r="O43" s="1531"/>
      <c r="P43" s="1531"/>
      <c r="Q43" s="1531"/>
      <c r="R43" s="1531"/>
      <c r="S43" s="1531"/>
      <c r="T43" s="1532"/>
      <c r="U43" s="1532"/>
      <c r="V43" s="1531"/>
      <c r="W43" s="1531"/>
      <c r="X43" s="1531"/>
      <c r="Y43" s="1531"/>
      <c r="Z43" s="1531"/>
      <c r="AA43" s="1531"/>
      <c r="AB43" s="1531"/>
      <c r="AC43" s="1531"/>
      <c r="AD43" s="1531"/>
      <c r="AE43" s="1531"/>
      <c r="AF43" s="1531"/>
      <c r="AG43" s="1531"/>
      <c r="AH43" s="1533"/>
    </row>
    <row r="44" spans="1:37" ht="12.95" customHeight="1" x14ac:dyDescent="0.25">
      <c r="A44" s="506" t="s">
        <v>149</v>
      </c>
      <c r="B44" s="71" t="s">
        <v>211</v>
      </c>
      <c r="C44" s="1128" t="s">
        <v>323</v>
      </c>
      <c r="D44" s="65">
        <v>1</v>
      </c>
      <c r="E44" s="65">
        <v>1</v>
      </c>
      <c r="F44" s="65">
        <v>1</v>
      </c>
      <c r="G44" s="65">
        <v>1</v>
      </c>
      <c r="H44" s="65">
        <f>ROUND((F44/G44),2)</f>
        <v>1</v>
      </c>
      <c r="I44" s="65">
        <v>180</v>
      </c>
      <c r="J44" s="65">
        <v>47</v>
      </c>
      <c r="K44" s="66">
        <v>20</v>
      </c>
      <c r="L44" s="66">
        <v>0.01</v>
      </c>
      <c r="M44" s="66">
        <v>0.01</v>
      </c>
      <c r="N44" s="65">
        <v>4</v>
      </c>
      <c r="O44" s="65">
        <v>6</v>
      </c>
      <c r="P44" s="65">
        <v>20</v>
      </c>
      <c r="Q44" s="65">
        <v>0.6</v>
      </c>
      <c r="R44" s="72">
        <v>0.6</v>
      </c>
      <c r="S44" s="65">
        <v>0.6</v>
      </c>
      <c r="T44" s="72">
        <v>3.5</v>
      </c>
      <c r="U44" s="72">
        <v>3.5</v>
      </c>
      <c r="V44" s="108">
        <f>ROUND((R44*N44+T44*L44+Q44*D44),4)</f>
        <v>3.0350000000000001</v>
      </c>
      <c r="W44" s="109">
        <f>ROUND((S44*O44+U44*L44+Q44*D44),4)</f>
        <v>4.2350000000000003</v>
      </c>
      <c r="X44" s="109">
        <f>ROUND((S44*P44+U44*L44+Q44*D44),4)</f>
        <v>12.635</v>
      </c>
      <c r="Y44" s="109">
        <f>ROUND((T44*M44+Q44*E44),4)</f>
        <v>0.63500000000000001</v>
      </c>
      <c r="Z44" s="109">
        <f>ROUND((U44*M44+Q44*E44),4)</f>
        <v>0.63500000000000001</v>
      </c>
      <c r="AA44" s="109">
        <f>ROUND((U44*M44+Q44*E44),4)</f>
        <v>0.63500000000000001</v>
      </c>
      <c r="AB44" s="109">
        <f>ROUND((H44*(V44+Y44)*G44*I44/1000000),4)</f>
        <v>6.9999999999999999E-4</v>
      </c>
      <c r="AC44" s="109">
        <f>ROUND((H44*(W44+Z44)*G44*J44/1000000),4)</f>
        <v>2.0000000000000001E-4</v>
      </c>
      <c r="AD44" s="109">
        <f>ROUND((H44*(X44+AA44)*G44*K44/1000000),4)</f>
        <v>2.9999999999999997E-4</v>
      </c>
      <c r="AE44" s="73" t="s">
        <v>48</v>
      </c>
      <c r="AF44" s="74" t="s">
        <v>49</v>
      </c>
      <c r="AG44" s="75">
        <f>ROUND(((X44*F44/3600)*0.8),4)</f>
        <v>2.8E-3</v>
      </c>
      <c r="AH44" s="75">
        <f>ROUND(((AB44+AC44+AD44)*0.8),4)</f>
        <v>1E-3</v>
      </c>
      <c r="AJ44" s="61">
        <f>I44+J44+K44</f>
        <v>247</v>
      </c>
    </row>
    <row r="45" spans="1:37" ht="12.95" customHeight="1" x14ac:dyDescent="0.25">
      <c r="A45" s="570" t="s">
        <v>214</v>
      </c>
      <c r="B45" s="67" t="s">
        <v>212</v>
      </c>
      <c r="C45" s="1129"/>
      <c r="D45" s="67"/>
      <c r="E45" s="67"/>
      <c r="F45" s="67"/>
      <c r="G45" s="67"/>
      <c r="H45" s="67"/>
      <c r="I45" s="67"/>
      <c r="J45" s="67"/>
      <c r="K45" s="67"/>
      <c r="L45" s="68"/>
      <c r="M45" s="68"/>
      <c r="N45" s="67"/>
      <c r="O45" s="67"/>
      <c r="P45" s="67"/>
      <c r="Q45" s="69"/>
      <c r="R45" s="69"/>
      <c r="S45" s="70"/>
      <c r="T45" s="69"/>
      <c r="U45" s="69"/>
      <c r="V45" s="110"/>
      <c r="W45" s="111"/>
      <c r="X45" s="111"/>
      <c r="Y45" s="111"/>
      <c r="Z45" s="111"/>
      <c r="AA45" s="111"/>
      <c r="AB45" s="111"/>
      <c r="AC45" s="111"/>
      <c r="AD45" s="111"/>
      <c r="AE45" s="73" t="s">
        <v>51</v>
      </c>
      <c r="AF45" s="74" t="s">
        <v>52</v>
      </c>
      <c r="AG45" s="75">
        <f>ROUND(((X44*F44/3600)*0.13),4)</f>
        <v>5.0000000000000001E-4</v>
      </c>
      <c r="AH45" s="75">
        <f>ROUND(((AB44+AC44+AD44)*0.13),4)</f>
        <v>2.0000000000000001E-4</v>
      </c>
    </row>
    <row r="46" spans="1:37" ht="12.95" customHeight="1" x14ac:dyDescent="0.25">
      <c r="A46" s="571"/>
      <c r="B46" s="76" t="s">
        <v>215</v>
      </c>
      <c r="C46" s="76"/>
      <c r="D46" s="67"/>
      <c r="E46" s="67"/>
      <c r="F46" s="67"/>
      <c r="G46" s="67"/>
      <c r="H46" s="67"/>
      <c r="I46" s="67"/>
      <c r="J46" s="67"/>
      <c r="K46" s="67"/>
      <c r="L46" s="68"/>
      <c r="M46" s="68"/>
      <c r="N46" s="67"/>
      <c r="O46" s="67"/>
      <c r="P46" s="67"/>
      <c r="Q46" s="75">
        <v>0.09</v>
      </c>
      <c r="R46" s="78">
        <v>0.09</v>
      </c>
      <c r="S46" s="79">
        <v>9.7000000000000003E-2</v>
      </c>
      <c r="T46" s="78">
        <v>0.45</v>
      </c>
      <c r="U46" s="78">
        <v>0.56000000000000005</v>
      </c>
      <c r="V46" s="108">
        <f>ROUND((R46*N44+T46*L44+Q46*D44),4)</f>
        <v>0.45450000000000002</v>
      </c>
      <c r="W46" s="109">
        <f>ROUND((S46*0.9*O44+U46*0.9*L44+Q46*D44),4)</f>
        <v>0.61880000000000002</v>
      </c>
      <c r="X46" s="109">
        <f>ROUND((S46*P44+U46*L44+Q46*D44),4)</f>
        <v>2.0356000000000001</v>
      </c>
      <c r="Y46" s="109">
        <f>ROUND((T46*M44+Q46*E44),4)</f>
        <v>9.4500000000000001E-2</v>
      </c>
      <c r="Z46" s="109">
        <f>ROUND((U46*0.9*M44+Q46*E44),4)</f>
        <v>9.5000000000000001E-2</v>
      </c>
      <c r="AA46" s="109">
        <f>ROUND((U46*M44+Q46*E44),4)</f>
        <v>9.5600000000000004E-2</v>
      </c>
      <c r="AB46" s="109">
        <f>ROUND((H44*(V46+Y46)*G44*I44/1000000),5)</f>
        <v>1E-4</v>
      </c>
      <c r="AC46" s="109">
        <f>ROUND((H44*(W46+Z46)*G44*J44/1000000),5)</f>
        <v>3.0000000000000001E-5</v>
      </c>
      <c r="AD46" s="109">
        <f>ROUND((H44*(X46+AA46)*G44*K44/1000000),5)</f>
        <v>4.0000000000000003E-5</v>
      </c>
      <c r="AE46" s="73" t="s">
        <v>56</v>
      </c>
      <c r="AF46" s="74" t="s">
        <v>57</v>
      </c>
      <c r="AG46" s="75">
        <f>ROUND(((X46*F44/3600)),4)</f>
        <v>5.9999999999999995E-4</v>
      </c>
      <c r="AH46" s="75">
        <f>AB46+AC46+AD46</f>
        <v>1.7000000000000001E-4</v>
      </c>
    </row>
    <row r="47" spans="1:37" ht="12.95" customHeight="1" x14ac:dyDescent="0.25">
      <c r="A47" s="571"/>
      <c r="B47" s="77"/>
      <c r="C47" s="67"/>
      <c r="D47" s="67"/>
      <c r="E47" s="67"/>
      <c r="F47" s="67"/>
      <c r="G47" s="67"/>
      <c r="H47" s="67"/>
      <c r="I47" s="67"/>
      <c r="J47" s="67"/>
      <c r="K47" s="67"/>
      <c r="L47" s="68"/>
      <c r="M47" s="68"/>
      <c r="N47" s="67"/>
      <c r="O47" s="67"/>
      <c r="P47" s="67"/>
      <c r="Q47" s="75">
        <v>0.35</v>
      </c>
      <c r="R47" s="78">
        <v>0.38</v>
      </c>
      <c r="S47" s="75">
        <v>0.5</v>
      </c>
      <c r="T47" s="78">
        <v>0.9</v>
      </c>
      <c r="U47" s="78">
        <v>1.1000000000000001</v>
      </c>
      <c r="V47" s="108">
        <f>ROUND((R47*N44+T47*L44+Q47*D44),4)</f>
        <v>1.879</v>
      </c>
      <c r="W47" s="109">
        <f>ROUND((S47*0.9*O44+U47*0.9*L44+Q47*D44),4)</f>
        <v>3.0598999999999998</v>
      </c>
      <c r="X47" s="109">
        <f>ROUND((S47*P44+U47*L44+Q47*D44),4)</f>
        <v>10.361000000000001</v>
      </c>
      <c r="Y47" s="109">
        <f>ROUND((T47*M44+Q47*E44),4)</f>
        <v>0.35899999999999999</v>
      </c>
      <c r="Z47" s="109">
        <f>ROUND((U47*0.9*M44+Q47*E44),4)</f>
        <v>0.3599</v>
      </c>
      <c r="AA47" s="109">
        <f>ROUND((U47*M44+Q47*E44),4)</f>
        <v>0.36099999999999999</v>
      </c>
      <c r="AB47" s="109">
        <f>ROUND((H44*(V47+Y47)*G44*I44/1000000),4)</f>
        <v>4.0000000000000002E-4</v>
      </c>
      <c r="AC47" s="109">
        <f>ROUND((H44*(W47+Z47)*G44*J44/1000000),4)</f>
        <v>2.0000000000000001E-4</v>
      </c>
      <c r="AD47" s="109">
        <f>ROUND((H44*(X47+AA47)*G44*K44/1000000),4)</f>
        <v>2.0000000000000001E-4</v>
      </c>
      <c r="AE47" s="73" t="s">
        <v>177</v>
      </c>
      <c r="AF47" s="74" t="s">
        <v>178</v>
      </c>
      <c r="AG47" s="75">
        <f>ROUND(((X47*F44/3600)),4)</f>
        <v>2.8999999999999998E-3</v>
      </c>
      <c r="AH47" s="75">
        <f>AB47+AC47+AD47</f>
        <v>8.0000000000000004E-4</v>
      </c>
    </row>
    <row r="48" spans="1:37" ht="12.95" customHeight="1" x14ac:dyDescent="0.25">
      <c r="A48" s="572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8"/>
      <c r="M48" s="68"/>
      <c r="N48" s="67"/>
      <c r="O48" s="67"/>
      <c r="P48" s="67"/>
      <c r="Q48" s="75">
        <v>2.8</v>
      </c>
      <c r="R48" s="78">
        <v>2.8</v>
      </c>
      <c r="S48" s="75">
        <v>3.6</v>
      </c>
      <c r="T48" s="78">
        <v>5.0999999999999996</v>
      </c>
      <c r="U48" s="78">
        <v>6.2</v>
      </c>
      <c r="V48" s="167">
        <f>ROUND((R48*N44+T48*L44+Q48*D44),4)</f>
        <v>14.051</v>
      </c>
      <c r="W48" s="168">
        <f>ROUND((S48*0.9*O44+U48*0.9*L44+Q48*D44),4)</f>
        <v>22.2958</v>
      </c>
      <c r="X48" s="168">
        <f>ROUND((S48*P44+U48*L44+Q48*D44),4)</f>
        <v>74.861999999999995</v>
      </c>
      <c r="Y48" s="168">
        <f>ROUND((T48*M44+Q48*E44),4)</f>
        <v>2.851</v>
      </c>
      <c r="Z48" s="168">
        <f>ROUND((U48*0.9*M44+Q48*E44),4)</f>
        <v>2.8557999999999999</v>
      </c>
      <c r="AA48" s="168">
        <f>ROUND((U48*M44+Q48*E44),4)</f>
        <v>2.8620000000000001</v>
      </c>
      <c r="AB48" s="168">
        <f>ROUND((H44*(V48+Y48)*G44*I44/1000000),4)</f>
        <v>3.0000000000000001E-3</v>
      </c>
      <c r="AC48" s="168">
        <f>ROUND((H44*(W48+Z48)*G44*J44/1000000),4)</f>
        <v>1.1999999999999999E-3</v>
      </c>
      <c r="AD48" s="168">
        <f>ROUND((H44*(X48+AA48)*G44*K44/1000000),4)</f>
        <v>1.6000000000000001E-3</v>
      </c>
      <c r="AE48" s="73" t="s">
        <v>65</v>
      </c>
      <c r="AF48" s="74" t="s">
        <v>66</v>
      </c>
      <c r="AG48" s="75">
        <f>ROUND(((X48*F44/3600)),4)</f>
        <v>2.0799999999999999E-2</v>
      </c>
      <c r="AH48" s="75">
        <f>AB48+AC48+AD48</f>
        <v>5.7999999999999996E-3</v>
      </c>
    </row>
    <row r="49" spans="1:40" ht="12.95" customHeight="1" x14ac:dyDescent="0.25">
      <c r="A49" s="573"/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70"/>
      <c r="M49" s="70"/>
      <c r="N49" s="69"/>
      <c r="O49" s="69"/>
      <c r="P49" s="69"/>
      <c r="Q49" s="75">
        <v>0.03</v>
      </c>
      <c r="R49" s="78">
        <v>0.03</v>
      </c>
      <c r="S49" s="75">
        <v>0.06</v>
      </c>
      <c r="T49" s="78">
        <v>0.25</v>
      </c>
      <c r="U49" s="78">
        <v>0.35</v>
      </c>
      <c r="V49" s="167">
        <f>ROUND((R49*N44+T49*L44+Q49*D44),4)</f>
        <v>0.1525</v>
      </c>
      <c r="W49" s="168">
        <f>ROUND((S49*0.9*O44+U49*0.9*L44+Q49*D44),4)</f>
        <v>0.35720000000000002</v>
      </c>
      <c r="X49" s="168">
        <f>ROUND((S49*P44+U49*L44+Q49*D44),4)</f>
        <v>1.2335</v>
      </c>
      <c r="Y49" s="168">
        <f>ROUND((T49*M44+Q49*E44),4)</f>
        <v>3.2500000000000001E-2</v>
      </c>
      <c r="Z49" s="168">
        <f>ROUND((U49*0.9*M44+Q49*E44),4)</f>
        <v>3.32E-2</v>
      </c>
      <c r="AA49" s="168">
        <f>ROUND((U49*M44+Q49*E44),4)</f>
        <v>3.3500000000000002E-2</v>
      </c>
      <c r="AB49" s="168">
        <f>ROUND((H44*(V49+Y49)*G44*I44/1000000),5)</f>
        <v>3.0000000000000001E-5</v>
      </c>
      <c r="AC49" s="168">
        <f>ROUND((H44*(W49+Z49)*G44*J44/1000000),5)</f>
        <v>2.0000000000000002E-5</v>
      </c>
      <c r="AD49" s="168">
        <f>ROUND((H44*(X49+AA49)*G44*K44/1000000),5)</f>
        <v>3.0000000000000001E-5</v>
      </c>
      <c r="AE49" s="73" t="s">
        <v>213</v>
      </c>
      <c r="AF49" s="74" t="s">
        <v>62</v>
      </c>
      <c r="AG49" s="75">
        <f>ROUND(((X49*F44/3600)),4)</f>
        <v>2.9999999999999997E-4</v>
      </c>
      <c r="AH49" s="75">
        <f>AB49+AC49+AD49</f>
        <v>8.0000000000000007E-5</v>
      </c>
      <c r="AI49" s="61">
        <f>SUM(AG44:AG49)</f>
        <v>2.7900000000000001E-2</v>
      </c>
      <c r="AJ49" s="61">
        <f>SUM(AH44:AH49)</f>
        <v>8.0499999999999999E-3</v>
      </c>
      <c r="AL49" s="417">
        <f>AJ49/AI49*1000000/3600</f>
        <v>80.147351652728005</v>
      </c>
      <c r="AM49" s="417"/>
      <c r="AN49" s="417">
        <f>210/3600</f>
        <v>5.8333333333333334E-2</v>
      </c>
    </row>
    <row r="50" spans="1:40" ht="12.95" customHeight="1" x14ac:dyDescent="0.25">
      <c r="A50" s="1373" t="s">
        <v>253</v>
      </c>
      <c r="B50" s="1523"/>
      <c r="C50" s="1523"/>
      <c r="D50" s="1523"/>
      <c r="E50" s="1523"/>
      <c r="F50" s="1523"/>
      <c r="G50" s="1523"/>
      <c r="H50" s="1523"/>
      <c r="I50" s="1523"/>
      <c r="J50" s="1523"/>
      <c r="K50" s="1523"/>
      <c r="L50" s="1523"/>
      <c r="M50" s="1523"/>
      <c r="N50" s="1523"/>
      <c r="O50" s="1523"/>
      <c r="P50" s="1523"/>
      <c r="Q50" s="1523"/>
      <c r="R50" s="1523"/>
      <c r="S50" s="1523"/>
      <c r="T50" s="1524"/>
      <c r="U50" s="1524"/>
      <c r="V50" s="1523"/>
      <c r="W50" s="1523"/>
      <c r="X50" s="1523"/>
      <c r="Y50" s="1523"/>
      <c r="Z50" s="1523"/>
      <c r="AA50" s="1523"/>
      <c r="AB50" s="1523"/>
      <c r="AC50" s="1523"/>
      <c r="AD50" s="1523"/>
      <c r="AE50" s="1523"/>
      <c r="AF50" s="1523"/>
      <c r="AG50" s="1523"/>
      <c r="AH50" s="1525"/>
    </row>
    <row r="51" spans="1:40" ht="12.95" customHeight="1" x14ac:dyDescent="0.25">
      <c r="A51" s="506" t="s">
        <v>262</v>
      </c>
      <c r="B51" s="71" t="s">
        <v>211</v>
      </c>
      <c r="C51" s="1128" t="s">
        <v>323</v>
      </c>
      <c r="D51" s="65">
        <v>1</v>
      </c>
      <c r="E51" s="65">
        <v>1</v>
      </c>
      <c r="F51" s="65">
        <v>1</v>
      </c>
      <c r="G51" s="65">
        <v>1</v>
      </c>
      <c r="H51" s="65">
        <f>ROUND((F51/G51),2)</f>
        <v>1</v>
      </c>
      <c r="I51" s="65">
        <v>180</v>
      </c>
      <c r="J51" s="65">
        <v>47</v>
      </c>
      <c r="K51" s="66">
        <v>20</v>
      </c>
      <c r="L51" s="66">
        <v>0.01</v>
      </c>
      <c r="M51" s="66">
        <v>0.01</v>
      </c>
      <c r="N51" s="65">
        <v>4</v>
      </c>
      <c r="O51" s="65">
        <v>6</v>
      </c>
      <c r="P51" s="65">
        <v>20</v>
      </c>
      <c r="Q51" s="65">
        <v>0.6</v>
      </c>
      <c r="R51" s="72">
        <v>0.6</v>
      </c>
      <c r="S51" s="65">
        <v>0.6</v>
      </c>
      <c r="T51" s="72">
        <v>3.5</v>
      </c>
      <c r="U51" s="72">
        <v>3.5</v>
      </c>
      <c r="V51" s="108">
        <f>ROUND((R51*N51+T51*L51+Q51*D51),4)</f>
        <v>3.0350000000000001</v>
      </c>
      <c r="W51" s="109">
        <f>ROUND((S51*O51+U51*L51+Q51*D51),4)</f>
        <v>4.2350000000000003</v>
      </c>
      <c r="X51" s="109">
        <f>ROUND((S51*P51+U51*L51+Q51*D51),4)</f>
        <v>12.635</v>
      </c>
      <c r="Y51" s="109">
        <f>ROUND((T51*M51+Q51*E51),4)</f>
        <v>0.63500000000000001</v>
      </c>
      <c r="Z51" s="109">
        <f>ROUND((U51*M51+Q51*E51),4)</f>
        <v>0.63500000000000001</v>
      </c>
      <c r="AA51" s="109">
        <f>ROUND((U51*M51+Q51*E51),4)</f>
        <v>0.63500000000000001</v>
      </c>
      <c r="AB51" s="109">
        <f>ROUND((H51*(V51+Y51)*G51*I51/1000000),4)</f>
        <v>6.9999999999999999E-4</v>
      </c>
      <c r="AC51" s="109">
        <f>ROUND((H51*(W51+Z51)*G51*J51/1000000),4)</f>
        <v>2.0000000000000001E-4</v>
      </c>
      <c r="AD51" s="109">
        <f>ROUND((H51*(X51+AA51)*G51*K51/1000000),4)</f>
        <v>2.9999999999999997E-4</v>
      </c>
      <c r="AE51" s="73" t="s">
        <v>48</v>
      </c>
      <c r="AF51" s="74" t="s">
        <v>49</v>
      </c>
      <c r="AG51" s="75">
        <f>ROUND(((X51*F51/3600)*0.8),4)</f>
        <v>2.8E-3</v>
      </c>
      <c r="AH51" s="75">
        <f>ROUND(((AB51+AC51+AD51)*0.8),4)</f>
        <v>1E-3</v>
      </c>
    </row>
    <row r="52" spans="1:40" ht="12.95" customHeight="1" x14ac:dyDescent="0.25">
      <c r="A52" s="570" t="s">
        <v>214</v>
      </c>
      <c r="B52" s="67" t="s">
        <v>212</v>
      </c>
      <c r="C52" s="1129"/>
      <c r="D52" s="67"/>
      <c r="E52" s="67"/>
      <c r="F52" s="67"/>
      <c r="G52" s="67"/>
      <c r="H52" s="67"/>
      <c r="I52" s="67"/>
      <c r="J52" s="67"/>
      <c r="K52" s="67"/>
      <c r="L52" s="68"/>
      <c r="M52" s="68"/>
      <c r="N52" s="67"/>
      <c r="O52" s="67"/>
      <c r="P52" s="67"/>
      <c r="Q52" s="69"/>
      <c r="R52" s="69"/>
      <c r="S52" s="70"/>
      <c r="T52" s="69"/>
      <c r="U52" s="69"/>
      <c r="V52" s="110"/>
      <c r="W52" s="111"/>
      <c r="X52" s="111"/>
      <c r="Y52" s="111"/>
      <c r="Z52" s="111"/>
      <c r="AA52" s="111"/>
      <c r="AB52" s="111"/>
      <c r="AC52" s="111"/>
      <c r="AD52" s="111"/>
      <c r="AE52" s="73" t="s">
        <v>51</v>
      </c>
      <c r="AF52" s="74" t="s">
        <v>52</v>
      </c>
      <c r="AG52" s="75">
        <f>ROUND(((X51*F51/3600)*0.13),4)</f>
        <v>5.0000000000000001E-4</v>
      </c>
      <c r="AH52" s="75">
        <f>ROUND(((AB51+AC51+AD51)*0.13),4)</f>
        <v>2.0000000000000001E-4</v>
      </c>
    </row>
    <row r="53" spans="1:40" ht="12.95" customHeight="1" x14ac:dyDescent="0.25">
      <c r="A53" s="571"/>
      <c r="B53" s="76" t="s">
        <v>215</v>
      </c>
      <c r="C53" s="76"/>
      <c r="D53" s="67"/>
      <c r="E53" s="67"/>
      <c r="F53" s="67"/>
      <c r="G53" s="67"/>
      <c r="H53" s="67"/>
      <c r="I53" s="67"/>
      <c r="J53" s="67"/>
      <c r="K53" s="67"/>
      <c r="L53" s="68"/>
      <c r="M53" s="68"/>
      <c r="N53" s="67"/>
      <c r="O53" s="67"/>
      <c r="P53" s="67"/>
      <c r="Q53" s="75">
        <v>0.09</v>
      </c>
      <c r="R53" s="78">
        <v>0.09</v>
      </c>
      <c r="S53" s="79">
        <v>9.7000000000000003E-2</v>
      </c>
      <c r="T53" s="78">
        <v>0.45</v>
      </c>
      <c r="U53" s="78">
        <v>0.56000000000000005</v>
      </c>
      <c r="V53" s="108">
        <f>ROUND((R53*N51+T53*L51+Q53*D51),4)</f>
        <v>0.45450000000000002</v>
      </c>
      <c r="W53" s="109">
        <f>ROUND((S53*0.9*O51+U53*0.9*L51+Q53*D51),4)</f>
        <v>0.61880000000000002</v>
      </c>
      <c r="X53" s="109">
        <f>ROUND((S53*P51+U53*L51+Q53*D51),4)</f>
        <v>2.0356000000000001</v>
      </c>
      <c r="Y53" s="109">
        <f>ROUND((T53*M51+Q53*E51),4)</f>
        <v>9.4500000000000001E-2</v>
      </c>
      <c r="Z53" s="109">
        <f>ROUND((U53*0.9*M51+Q53*E51),4)</f>
        <v>9.5000000000000001E-2</v>
      </c>
      <c r="AA53" s="109">
        <f>ROUND((U53*M51+Q53*E51),4)</f>
        <v>9.5600000000000004E-2</v>
      </c>
      <c r="AB53" s="109">
        <f>ROUND((H51*(V53+Y53)*G51*I51/1000000),5)</f>
        <v>1E-4</v>
      </c>
      <c r="AC53" s="109">
        <f>ROUND((H51*(W53+Z53)*G51*J51/1000000),5)</f>
        <v>3.0000000000000001E-5</v>
      </c>
      <c r="AD53" s="109">
        <f>ROUND((H51*(X53+AA53)*G51*K51/1000000),5)</f>
        <v>4.0000000000000003E-5</v>
      </c>
      <c r="AE53" s="73" t="s">
        <v>56</v>
      </c>
      <c r="AF53" s="74" t="s">
        <v>57</v>
      </c>
      <c r="AG53" s="75">
        <f>ROUND(((X53*F51/3600)),4)</f>
        <v>5.9999999999999995E-4</v>
      </c>
      <c r="AH53" s="75">
        <f>AB53+AC53+AD53</f>
        <v>1.7000000000000001E-4</v>
      </c>
    </row>
    <row r="54" spans="1:40" ht="12.95" customHeight="1" x14ac:dyDescent="0.25">
      <c r="A54" s="571"/>
      <c r="B54" s="77"/>
      <c r="C54" s="67"/>
      <c r="D54" s="67"/>
      <c r="E54" s="67"/>
      <c r="F54" s="67"/>
      <c r="G54" s="67"/>
      <c r="H54" s="67"/>
      <c r="I54" s="67"/>
      <c r="J54" s="67"/>
      <c r="K54" s="67"/>
      <c r="L54" s="68"/>
      <c r="M54" s="68"/>
      <c r="N54" s="67"/>
      <c r="O54" s="67"/>
      <c r="P54" s="67"/>
      <c r="Q54" s="75">
        <v>0.35</v>
      </c>
      <c r="R54" s="78">
        <v>0.38</v>
      </c>
      <c r="S54" s="75">
        <v>0.5</v>
      </c>
      <c r="T54" s="78">
        <v>0.9</v>
      </c>
      <c r="U54" s="78">
        <v>1.1000000000000001</v>
      </c>
      <c r="V54" s="108">
        <f>ROUND((R54*N51+T54*L51+Q54*D51),4)</f>
        <v>1.879</v>
      </c>
      <c r="W54" s="109">
        <f>ROUND((S54*0.9*O51+U54*0.9*L51+Q54*D51),4)</f>
        <v>3.0598999999999998</v>
      </c>
      <c r="X54" s="109">
        <f>ROUND((S54*P51+U54*L51+Q54*D51),4)</f>
        <v>10.361000000000001</v>
      </c>
      <c r="Y54" s="109">
        <f>ROUND((T54*M51+Q54*E51),4)</f>
        <v>0.35899999999999999</v>
      </c>
      <c r="Z54" s="109">
        <f>ROUND((U54*0.9*M51+Q54*E51),4)</f>
        <v>0.3599</v>
      </c>
      <c r="AA54" s="109">
        <f>ROUND((U54*M51+Q54*E51),4)</f>
        <v>0.36099999999999999</v>
      </c>
      <c r="AB54" s="109">
        <f>ROUND((H51*(V54+Y54)*G51*I51/1000000),4)</f>
        <v>4.0000000000000002E-4</v>
      </c>
      <c r="AC54" s="109">
        <f>ROUND((H51*(W54+Z54)*G51*J51/1000000),4)</f>
        <v>2.0000000000000001E-4</v>
      </c>
      <c r="AD54" s="109">
        <f>ROUND((H51*(X54+AA54)*G51*K51/1000000),4)</f>
        <v>2.0000000000000001E-4</v>
      </c>
      <c r="AE54" s="73" t="s">
        <v>177</v>
      </c>
      <c r="AF54" s="74" t="s">
        <v>178</v>
      </c>
      <c r="AG54" s="75">
        <f>ROUND(((X54*F51/3600)),4)</f>
        <v>2.8999999999999998E-3</v>
      </c>
      <c r="AH54" s="75">
        <f>AB54+AC54+AD54</f>
        <v>8.0000000000000004E-4</v>
      </c>
    </row>
    <row r="55" spans="1:40" ht="12.95" customHeight="1" x14ac:dyDescent="0.25">
      <c r="A55" s="572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8"/>
      <c r="M55" s="68"/>
      <c r="N55" s="67"/>
      <c r="O55" s="67"/>
      <c r="P55" s="67"/>
      <c r="Q55" s="75">
        <v>2.8</v>
      </c>
      <c r="R55" s="78">
        <v>2.8</v>
      </c>
      <c r="S55" s="75">
        <v>3.6</v>
      </c>
      <c r="T55" s="78">
        <v>5.0999999999999996</v>
      </c>
      <c r="U55" s="78">
        <v>6.2</v>
      </c>
      <c r="V55" s="167">
        <f>ROUND((R55*N51+T55*L51+Q55*D51),4)</f>
        <v>14.051</v>
      </c>
      <c r="W55" s="168">
        <f>ROUND((S55*0.9*O51+U55*0.9*L51+Q55*D51),4)</f>
        <v>22.2958</v>
      </c>
      <c r="X55" s="168">
        <f>ROUND((S55*P51+U55*L51+Q55*D51),4)</f>
        <v>74.861999999999995</v>
      </c>
      <c r="Y55" s="168">
        <f>ROUND((T55*M51+Q55*E51),4)</f>
        <v>2.851</v>
      </c>
      <c r="Z55" s="168">
        <f>ROUND((U55*0.9*M51+Q55*E51),4)</f>
        <v>2.8557999999999999</v>
      </c>
      <c r="AA55" s="168">
        <f>ROUND((U55*M51+Q55*E51),4)</f>
        <v>2.8620000000000001</v>
      </c>
      <c r="AB55" s="168">
        <f>ROUND((H51*(V55+Y55)*G51*I51/1000000),4)</f>
        <v>3.0000000000000001E-3</v>
      </c>
      <c r="AC55" s="168">
        <f>ROUND((H51*(W55+Z55)*G51*J51/1000000),4)</f>
        <v>1.1999999999999999E-3</v>
      </c>
      <c r="AD55" s="168">
        <f>ROUND((H51*(X55+AA55)*G51*K51/1000000),4)</f>
        <v>1.6000000000000001E-3</v>
      </c>
      <c r="AE55" s="73" t="s">
        <v>65</v>
      </c>
      <c r="AF55" s="74" t="s">
        <v>66</v>
      </c>
      <c r="AG55" s="75">
        <f>ROUND(((X55*F51/3600)),4)</f>
        <v>2.0799999999999999E-2</v>
      </c>
      <c r="AH55" s="75">
        <f>AB55+AC55+AD55</f>
        <v>5.7999999999999996E-3</v>
      </c>
    </row>
    <row r="56" spans="1:40" ht="12.95" customHeight="1" x14ac:dyDescent="0.25">
      <c r="A56" s="573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70"/>
      <c r="M56" s="70"/>
      <c r="N56" s="69"/>
      <c r="O56" s="69"/>
      <c r="P56" s="69"/>
      <c r="Q56" s="75">
        <v>0.03</v>
      </c>
      <c r="R56" s="78">
        <v>0.03</v>
      </c>
      <c r="S56" s="75">
        <v>0.06</v>
      </c>
      <c r="T56" s="78">
        <v>0.25</v>
      </c>
      <c r="U56" s="78">
        <v>0.35</v>
      </c>
      <c r="V56" s="167">
        <f>ROUND((R56*N51+T56*L51+Q56*D51),4)</f>
        <v>0.1525</v>
      </c>
      <c r="W56" s="168">
        <f>ROUND((S56*0.9*O51+U56*0.9*L51+Q56*D51),4)</f>
        <v>0.35720000000000002</v>
      </c>
      <c r="X56" s="168">
        <f>ROUND((S56*P51+U56*L51+Q56*D51),4)</f>
        <v>1.2335</v>
      </c>
      <c r="Y56" s="168">
        <f>ROUND((T56*M51+Q56*E51),4)</f>
        <v>3.2500000000000001E-2</v>
      </c>
      <c r="Z56" s="168">
        <f>ROUND((U56*0.9*M51+Q56*E51),4)</f>
        <v>3.32E-2</v>
      </c>
      <c r="AA56" s="168">
        <f>ROUND((U56*M51+Q56*E51),4)</f>
        <v>3.3500000000000002E-2</v>
      </c>
      <c r="AB56" s="168">
        <f>ROUND((H51*(V56+Y56)*G51*I51/1000000),5)</f>
        <v>3.0000000000000001E-5</v>
      </c>
      <c r="AC56" s="168">
        <f>ROUND((H51*(W56+Z56)*G51*J51/1000000),5)</f>
        <v>2.0000000000000002E-5</v>
      </c>
      <c r="AD56" s="168">
        <f>ROUND((H51*(X56+AA56)*G51*K51/1000000),5)</f>
        <v>3.0000000000000001E-5</v>
      </c>
      <c r="AE56" s="73" t="s">
        <v>213</v>
      </c>
      <c r="AF56" s="74" t="s">
        <v>62</v>
      </c>
      <c r="AG56" s="75">
        <f>ROUND(((X56*F51/3600)),4)</f>
        <v>2.9999999999999997E-4</v>
      </c>
      <c r="AH56" s="75">
        <f>AB56+AC56+AD56</f>
        <v>8.0000000000000007E-5</v>
      </c>
      <c r="AI56" s="61">
        <f>SUM(AG51:AG56)</f>
        <v>2.7900000000000001E-2</v>
      </c>
      <c r="AJ56" s="61">
        <f>SUM(AH51:AH56)</f>
        <v>8.0499999999999999E-3</v>
      </c>
    </row>
    <row r="57" spans="1:40" ht="12.95" customHeight="1" x14ac:dyDescent="0.25">
      <c r="A57" s="1373" t="s">
        <v>261</v>
      </c>
      <c r="B57" s="1523"/>
      <c r="C57" s="1523"/>
      <c r="D57" s="1523"/>
      <c r="E57" s="1523"/>
      <c r="F57" s="1523"/>
      <c r="G57" s="1523"/>
      <c r="H57" s="1523"/>
      <c r="I57" s="1523"/>
      <c r="J57" s="1523"/>
      <c r="K57" s="1523"/>
      <c r="L57" s="1523"/>
      <c r="M57" s="1523"/>
      <c r="N57" s="1523"/>
      <c r="O57" s="1523"/>
      <c r="P57" s="1523"/>
      <c r="Q57" s="1523"/>
      <c r="R57" s="1523"/>
      <c r="S57" s="1523"/>
      <c r="T57" s="1524"/>
      <c r="U57" s="1524"/>
      <c r="V57" s="1523"/>
      <c r="W57" s="1523"/>
      <c r="X57" s="1523"/>
      <c r="Y57" s="1523"/>
      <c r="Z57" s="1523"/>
      <c r="AA57" s="1523"/>
      <c r="AB57" s="1523"/>
      <c r="AC57" s="1523"/>
      <c r="AD57" s="1523"/>
      <c r="AE57" s="1523"/>
      <c r="AF57" s="1523"/>
      <c r="AG57" s="1523"/>
      <c r="AH57" s="1525"/>
    </row>
    <row r="58" spans="1:40" ht="12.95" customHeight="1" x14ac:dyDescent="0.25">
      <c r="A58" s="506" t="s">
        <v>286</v>
      </c>
      <c r="B58" s="71" t="s">
        <v>211</v>
      </c>
      <c r="C58" s="1128" t="s">
        <v>323</v>
      </c>
      <c r="D58" s="65">
        <v>1</v>
      </c>
      <c r="E58" s="65">
        <v>1</v>
      </c>
      <c r="F58" s="65">
        <v>1</v>
      </c>
      <c r="G58" s="65">
        <v>1</v>
      </c>
      <c r="H58" s="65">
        <f>ROUND((F58/G58),2)</f>
        <v>1</v>
      </c>
      <c r="I58" s="65">
        <v>180</v>
      </c>
      <c r="J58" s="65">
        <v>47</v>
      </c>
      <c r="K58" s="66">
        <v>20</v>
      </c>
      <c r="L58" s="66">
        <v>0.01</v>
      </c>
      <c r="M58" s="66">
        <v>0.01</v>
      </c>
      <c r="N58" s="65">
        <v>4</v>
      </c>
      <c r="O58" s="65">
        <v>6</v>
      </c>
      <c r="P58" s="65">
        <v>20</v>
      </c>
      <c r="Q58" s="65">
        <v>0.6</v>
      </c>
      <c r="R58" s="72">
        <v>0.6</v>
      </c>
      <c r="S58" s="65">
        <v>0.6</v>
      </c>
      <c r="T58" s="72">
        <v>3.5</v>
      </c>
      <c r="U58" s="72">
        <v>3.5</v>
      </c>
      <c r="V58" s="108">
        <f>ROUND((R58*N58+T58*L58+Q58*D58),4)</f>
        <v>3.0350000000000001</v>
      </c>
      <c r="W58" s="109">
        <f>ROUND((S58*O58+U58*L58+Q58*D58),4)</f>
        <v>4.2350000000000003</v>
      </c>
      <c r="X58" s="109">
        <f>ROUND((S58*P58+U58*L58+Q58*D58),4)</f>
        <v>12.635</v>
      </c>
      <c r="Y58" s="109">
        <f>ROUND((T58*M58+Q58*E58),4)</f>
        <v>0.63500000000000001</v>
      </c>
      <c r="Z58" s="109">
        <f>ROUND((U58*M58+Q58*E58),4)</f>
        <v>0.63500000000000001</v>
      </c>
      <c r="AA58" s="109">
        <f>ROUND((U58*M58+Q58*E58),4)</f>
        <v>0.63500000000000001</v>
      </c>
      <c r="AB58" s="109">
        <f>ROUND((H58*(V58+Y58)*G58*I58/1000000),4)</f>
        <v>6.9999999999999999E-4</v>
      </c>
      <c r="AC58" s="109">
        <f>ROUND((H58*(W58+Z58)*G58*J58/1000000),4)</f>
        <v>2.0000000000000001E-4</v>
      </c>
      <c r="AD58" s="109">
        <f>ROUND((H58*(X58+AA58)*G58*K58/1000000),4)</f>
        <v>2.9999999999999997E-4</v>
      </c>
      <c r="AE58" s="73" t="s">
        <v>48</v>
      </c>
      <c r="AF58" s="74" t="s">
        <v>49</v>
      </c>
      <c r="AG58" s="75">
        <f>ROUND(((X58*F58/3600)*0.8),4)</f>
        <v>2.8E-3</v>
      </c>
      <c r="AH58" s="75">
        <f>ROUND(((AB58+AC58+AD58)*0.8),4)</f>
        <v>1E-3</v>
      </c>
    </row>
    <row r="59" spans="1:40" ht="12.95" customHeight="1" x14ac:dyDescent="0.25">
      <c r="A59" s="570" t="s">
        <v>229</v>
      </c>
      <c r="B59" s="67" t="s">
        <v>212</v>
      </c>
      <c r="C59" s="1129"/>
      <c r="D59" s="67"/>
      <c r="E59" s="67"/>
      <c r="F59" s="67"/>
      <c r="G59" s="67"/>
      <c r="H59" s="67"/>
      <c r="I59" s="67"/>
      <c r="J59" s="67"/>
      <c r="K59" s="67"/>
      <c r="L59" s="68"/>
      <c r="M59" s="68"/>
      <c r="N59" s="67"/>
      <c r="O59" s="67"/>
      <c r="P59" s="67"/>
      <c r="Q59" s="69"/>
      <c r="R59" s="69"/>
      <c r="S59" s="70"/>
      <c r="T59" s="69"/>
      <c r="U59" s="69"/>
      <c r="V59" s="110"/>
      <c r="W59" s="111"/>
      <c r="X59" s="111"/>
      <c r="Y59" s="111"/>
      <c r="Z59" s="111"/>
      <c r="AA59" s="111"/>
      <c r="AB59" s="111"/>
      <c r="AC59" s="111"/>
      <c r="AD59" s="111"/>
      <c r="AE59" s="73" t="s">
        <v>51</v>
      </c>
      <c r="AF59" s="74" t="s">
        <v>52</v>
      </c>
      <c r="AG59" s="75">
        <f>ROUND(((X58*F58/3600)*0.13),4)</f>
        <v>5.0000000000000001E-4</v>
      </c>
      <c r="AH59" s="75">
        <f>ROUND(((AB58+AC58+AD58)*0.13),4)</f>
        <v>2.0000000000000001E-4</v>
      </c>
    </row>
    <row r="60" spans="1:40" ht="12.95" customHeight="1" x14ac:dyDescent="0.25">
      <c r="A60" s="571"/>
      <c r="B60" s="76" t="s">
        <v>215</v>
      </c>
      <c r="C60" s="76"/>
      <c r="D60" s="67"/>
      <c r="E60" s="67"/>
      <c r="F60" s="67"/>
      <c r="G60" s="67"/>
      <c r="H60" s="67"/>
      <c r="I60" s="67"/>
      <c r="J60" s="67"/>
      <c r="K60" s="67"/>
      <c r="L60" s="68"/>
      <c r="M60" s="68"/>
      <c r="N60" s="67"/>
      <c r="O60" s="67"/>
      <c r="P60" s="67"/>
      <c r="Q60" s="75">
        <v>0.09</v>
      </c>
      <c r="R60" s="78">
        <v>0.09</v>
      </c>
      <c r="S60" s="79">
        <v>9.7000000000000003E-2</v>
      </c>
      <c r="T60" s="78">
        <v>0.45</v>
      </c>
      <c r="U60" s="78">
        <v>0.56000000000000005</v>
      </c>
      <c r="V60" s="108">
        <f>ROUND((R60*N58+T60*L58+Q60*D58),4)</f>
        <v>0.45450000000000002</v>
      </c>
      <c r="W60" s="109">
        <f>ROUND((S60*0.9*O58+U60*0.9*L58+Q60*D58),4)</f>
        <v>0.61880000000000002</v>
      </c>
      <c r="X60" s="109">
        <f>ROUND((S60*P58+U60*L58+Q60*D58),4)</f>
        <v>2.0356000000000001</v>
      </c>
      <c r="Y60" s="109">
        <f>ROUND((T60*M58+Q60*E58),4)</f>
        <v>9.4500000000000001E-2</v>
      </c>
      <c r="Z60" s="109">
        <f>ROUND((U60*0.9*M58+Q60*E58),4)</f>
        <v>9.5000000000000001E-2</v>
      </c>
      <c r="AA60" s="109">
        <f>ROUND((U60*M58+Q60*E58),4)</f>
        <v>9.5600000000000004E-2</v>
      </c>
      <c r="AB60" s="109">
        <f>ROUND((H58*(V60+Y60)*G58*I58/1000000),5)</f>
        <v>1E-4</v>
      </c>
      <c r="AC60" s="109">
        <f>ROUND((H58*(W60+Z60)*G58*J58/1000000),5)</f>
        <v>3.0000000000000001E-5</v>
      </c>
      <c r="AD60" s="109">
        <f>ROUND((H58*(X60+AA60)*G58*K58/1000000),5)</f>
        <v>4.0000000000000003E-5</v>
      </c>
      <c r="AE60" s="73" t="s">
        <v>56</v>
      </c>
      <c r="AF60" s="74" t="s">
        <v>57</v>
      </c>
      <c r="AG60" s="75">
        <f>ROUND(((X60*F58/3600)),4)</f>
        <v>5.9999999999999995E-4</v>
      </c>
      <c r="AH60" s="75">
        <f>AB60+AC60+AD60</f>
        <v>1.7000000000000001E-4</v>
      </c>
    </row>
    <row r="61" spans="1:40" ht="12.95" customHeight="1" x14ac:dyDescent="0.25">
      <c r="A61" s="571"/>
      <c r="B61" s="77"/>
      <c r="C61" s="67"/>
      <c r="D61" s="67"/>
      <c r="E61" s="67"/>
      <c r="F61" s="67"/>
      <c r="G61" s="67"/>
      <c r="H61" s="67"/>
      <c r="I61" s="67"/>
      <c r="J61" s="67"/>
      <c r="K61" s="67"/>
      <c r="L61" s="68"/>
      <c r="M61" s="68"/>
      <c r="N61" s="67"/>
      <c r="O61" s="67"/>
      <c r="P61" s="67"/>
      <c r="Q61" s="75">
        <v>0.35</v>
      </c>
      <c r="R61" s="78">
        <v>0.38</v>
      </c>
      <c r="S61" s="75">
        <v>0.5</v>
      </c>
      <c r="T61" s="78">
        <v>0.9</v>
      </c>
      <c r="U61" s="78">
        <v>1.1000000000000001</v>
      </c>
      <c r="V61" s="108">
        <f>ROUND((R61*N58+T61*L58+Q61*D58),4)</f>
        <v>1.879</v>
      </c>
      <c r="W61" s="109">
        <f>ROUND((S61*0.9*O58+U61*0.9*L58+Q61*D58),4)</f>
        <v>3.0598999999999998</v>
      </c>
      <c r="X61" s="109">
        <f>ROUND((S61*P58+U61*L58+Q61*D58),4)</f>
        <v>10.361000000000001</v>
      </c>
      <c r="Y61" s="109">
        <f>ROUND((T61*M58+Q61*E58),4)</f>
        <v>0.35899999999999999</v>
      </c>
      <c r="Z61" s="109">
        <f>ROUND((U61*0.9*M58+Q61*E58),4)</f>
        <v>0.3599</v>
      </c>
      <c r="AA61" s="109">
        <f>ROUND((U61*M58+Q61*E58),4)</f>
        <v>0.36099999999999999</v>
      </c>
      <c r="AB61" s="109">
        <f>ROUND((H58*(V61+Y61)*G58*I58/1000000),4)</f>
        <v>4.0000000000000002E-4</v>
      </c>
      <c r="AC61" s="109">
        <f>ROUND((H58*(W61+Z61)*G58*J58/1000000),4)</f>
        <v>2.0000000000000001E-4</v>
      </c>
      <c r="AD61" s="109">
        <f>ROUND((H58*(X61+AA61)*G58*K58/1000000),4)</f>
        <v>2.0000000000000001E-4</v>
      </c>
      <c r="AE61" s="73" t="s">
        <v>177</v>
      </c>
      <c r="AF61" s="74" t="s">
        <v>178</v>
      </c>
      <c r="AG61" s="75">
        <f>ROUND(((X61*F58/3600)),4)</f>
        <v>2.8999999999999998E-3</v>
      </c>
      <c r="AH61" s="75">
        <f>AB61+AC61+AD61</f>
        <v>8.0000000000000004E-4</v>
      </c>
    </row>
    <row r="62" spans="1:40" ht="12.95" customHeight="1" x14ac:dyDescent="0.25">
      <c r="A62" s="572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8"/>
      <c r="M62" s="68"/>
      <c r="N62" s="67"/>
      <c r="O62" s="67"/>
      <c r="P62" s="67"/>
      <c r="Q62" s="75">
        <v>2.8</v>
      </c>
      <c r="R62" s="78">
        <v>2.8</v>
      </c>
      <c r="S62" s="75">
        <v>3.6</v>
      </c>
      <c r="T62" s="78">
        <v>5.0999999999999996</v>
      </c>
      <c r="U62" s="78">
        <v>6.2</v>
      </c>
      <c r="V62" s="167">
        <f>ROUND((R62*N58+T62*L58+Q62*D58),4)</f>
        <v>14.051</v>
      </c>
      <c r="W62" s="168">
        <f>ROUND((S62*0.9*O58+U62*0.9*L58+Q62*D58),4)</f>
        <v>22.2958</v>
      </c>
      <c r="X62" s="168">
        <f>ROUND((S62*P58+U62*L58+Q62*D58),4)</f>
        <v>74.861999999999995</v>
      </c>
      <c r="Y62" s="168">
        <f>ROUND((T62*M58+Q62*E58),4)</f>
        <v>2.851</v>
      </c>
      <c r="Z62" s="168">
        <f>ROUND((U62*0.9*M58+Q62*E58),4)</f>
        <v>2.8557999999999999</v>
      </c>
      <c r="AA62" s="168">
        <f>ROUND((U62*M58+Q62*E58),4)</f>
        <v>2.8620000000000001</v>
      </c>
      <c r="AB62" s="168">
        <f>ROUND((H58*(V62+Y62)*G58*I58/1000000),4)</f>
        <v>3.0000000000000001E-3</v>
      </c>
      <c r="AC62" s="168">
        <f>ROUND((H58*(W62+Z62)*G58*J58/1000000),4)</f>
        <v>1.1999999999999999E-3</v>
      </c>
      <c r="AD62" s="168">
        <f>ROUND((H58*(X62+AA62)*G58*K58/1000000),4)</f>
        <v>1.6000000000000001E-3</v>
      </c>
      <c r="AE62" s="73" t="s">
        <v>65</v>
      </c>
      <c r="AF62" s="74" t="s">
        <v>66</v>
      </c>
      <c r="AG62" s="75">
        <f>ROUND(((X62*F58/3600)),4)</f>
        <v>2.0799999999999999E-2</v>
      </c>
      <c r="AH62" s="75">
        <f>AB62+AC62+AD62</f>
        <v>5.7999999999999996E-3</v>
      </c>
    </row>
    <row r="63" spans="1:40" ht="12.95" customHeight="1" x14ac:dyDescent="0.25">
      <c r="A63" s="573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70"/>
      <c r="M63" s="70"/>
      <c r="N63" s="69"/>
      <c r="O63" s="69"/>
      <c r="P63" s="69"/>
      <c r="Q63" s="75">
        <v>0.03</v>
      </c>
      <c r="R63" s="78">
        <v>0.03</v>
      </c>
      <c r="S63" s="75">
        <v>0.06</v>
      </c>
      <c r="T63" s="78">
        <v>0.25</v>
      </c>
      <c r="U63" s="78">
        <v>0.35</v>
      </c>
      <c r="V63" s="167">
        <f>ROUND((R63*N58+T63*L58+Q63*D58),4)</f>
        <v>0.1525</v>
      </c>
      <c r="W63" s="168">
        <f>ROUND((S63*0.9*O58+U63*0.9*L58+Q63*D58),4)</f>
        <v>0.35720000000000002</v>
      </c>
      <c r="X63" s="168">
        <f>ROUND((S63*P58+U63*L58+Q63*D58),4)</f>
        <v>1.2335</v>
      </c>
      <c r="Y63" s="168">
        <f>ROUND((T63*M58+Q63*E58),4)</f>
        <v>3.2500000000000001E-2</v>
      </c>
      <c r="Z63" s="168">
        <f>ROUND((U63*0.9*M58+Q63*E58),4)</f>
        <v>3.32E-2</v>
      </c>
      <c r="AA63" s="168">
        <f>ROUND((U63*M58+Q63*E58),4)</f>
        <v>3.3500000000000002E-2</v>
      </c>
      <c r="AB63" s="168">
        <f>ROUND((H58*(V63+Y63)*G58*I58/1000000),5)</f>
        <v>3.0000000000000001E-5</v>
      </c>
      <c r="AC63" s="168">
        <f>ROUND((H58*(W63+Z63)*G58*J58/1000000),5)</f>
        <v>2.0000000000000002E-5</v>
      </c>
      <c r="AD63" s="168">
        <f>ROUND((H58*(X63+AA63)*G58*K58/1000000),5)</f>
        <v>3.0000000000000001E-5</v>
      </c>
      <c r="AE63" s="73" t="s">
        <v>213</v>
      </c>
      <c r="AF63" s="74" t="s">
        <v>62</v>
      </c>
      <c r="AG63" s="75">
        <f>ROUND(((X63*F58/3600)),4)</f>
        <v>2.9999999999999997E-4</v>
      </c>
      <c r="AH63" s="75">
        <f>AB63+AC63+AD63</f>
        <v>8.0000000000000007E-5</v>
      </c>
      <c r="AI63" s="61">
        <f>SUM(AG58:AG63)</f>
        <v>2.7900000000000001E-2</v>
      </c>
      <c r="AJ63" s="61">
        <f>SUM(AH58:AH63)</f>
        <v>8.0499999999999999E-3</v>
      </c>
    </row>
    <row r="64" spans="1:40" ht="12.95" customHeight="1" x14ac:dyDescent="0.25">
      <c r="A64" s="1373" t="s">
        <v>280</v>
      </c>
      <c r="B64" s="1523"/>
      <c r="C64" s="1523"/>
      <c r="D64" s="1523"/>
      <c r="E64" s="1523"/>
      <c r="F64" s="1523"/>
      <c r="G64" s="1523"/>
      <c r="H64" s="1523"/>
      <c r="I64" s="1523"/>
      <c r="J64" s="1523"/>
      <c r="K64" s="1523"/>
      <c r="L64" s="1523"/>
      <c r="M64" s="1523"/>
      <c r="N64" s="1523"/>
      <c r="O64" s="1523"/>
      <c r="P64" s="1523"/>
      <c r="Q64" s="1523"/>
      <c r="R64" s="1523"/>
      <c r="S64" s="1523"/>
      <c r="T64" s="1524"/>
      <c r="U64" s="1524"/>
      <c r="V64" s="1523"/>
      <c r="W64" s="1523"/>
      <c r="X64" s="1523"/>
      <c r="Y64" s="1523"/>
      <c r="Z64" s="1523"/>
      <c r="AA64" s="1523"/>
      <c r="AB64" s="1523"/>
      <c r="AC64" s="1523"/>
      <c r="AD64" s="1523"/>
      <c r="AE64" s="1523"/>
      <c r="AF64" s="1523"/>
      <c r="AG64" s="1523"/>
      <c r="AH64" s="1525"/>
    </row>
    <row r="65" spans="1:36" ht="12.95" customHeight="1" x14ac:dyDescent="0.25">
      <c r="A65" s="506" t="s">
        <v>291</v>
      </c>
      <c r="B65" s="71" t="s">
        <v>211</v>
      </c>
      <c r="C65" s="1128" t="s">
        <v>323</v>
      </c>
      <c r="D65" s="65">
        <v>1</v>
      </c>
      <c r="E65" s="65">
        <v>1</v>
      </c>
      <c r="F65" s="65">
        <v>1</v>
      </c>
      <c r="G65" s="65">
        <v>1</v>
      </c>
      <c r="H65" s="65">
        <f>ROUND((F65/G65),2)</f>
        <v>1</v>
      </c>
      <c r="I65" s="65">
        <v>180</v>
      </c>
      <c r="J65" s="65">
        <v>47</v>
      </c>
      <c r="K65" s="66">
        <v>20</v>
      </c>
      <c r="L65" s="66">
        <v>0.01</v>
      </c>
      <c r="M65" s="66">
        <v>0.01</v>
      </c>
      <c r="N65" s="65">
        <v>4</v>
      </c>
      <c r="O65" s="65">
        <v>6</v>
      </c>
      <c r="P65" s="65">
        <v>20</v>
      </c>
      <c r="Q65" s="65">
        <v>0.6</v>
      </c>
      <c r="R65" s="72">
        <v>0.6</v>
      </c>
      <c r="S65" s="65">
        <v>0.6</v>
      </c>
      <c r="T65" s="72">
        <v>3.5</v>
      </c>
      <c r="U65" s="72">
        <v>3.5</v>
      </c>
      <c r="V65" s="108">
        <f>ROUND((R65*N65+T65*L65+Q65*D65),4)</f>
        <v>3.0350000000000001</v>
      </c>
      <c r="W65" s="109">
        <f>ROUND((S65*O65+U65*L65+Q65*D65),4)</f>
        <v>4.2350000000000003</v>
      </c>
      <c r="X65" s="109">
        <f>ROUND((S65*P65+U65*L65+Q65*D65),4)</f>
        <v>12.635</v>
      </c>
      <c r="Y65" s="109">
        <f>ROUND((T65*M65+Q65*E65),4)</f>
        <v>0.63500000000000001</v>
      </c>
      <c r="Z65" s="109">
        <f>ROUND((U65*M65+Q65*E65),4)</f>
        <v>0.63500000000000001</v>
      </c>
      <c r="AA65" s="109">
        <f>ROUND((U65*M65+Q65*E65),4)</f>
        <v>0.63500000000000001</v>
      </c>
      <c r="AB65" s="109">
        <f>ROUND((H65*(V65+Y65)*G65*I65/1000000),4)</f>
        <v>6.9999999999999999E-4</v>
      </c>
      <c r="AC65" s="109">
        <f>ROUND((H65*(W65+Z65)*G65*J65/1000000),4)</f>
        <v>2.0000000000000001E-4</v>
      </c>
      <c r="AD65" s="109">
        <f>ROUND((H65*(X65+AA65)*G65*K65/1000000),4)</f>
        <v>2.9999999999999997E-4</v>
      </c>
      <c r="AE65" s="73" t="s">
        <v>48</v>
      </c>
      <c r="AF65" s="74" t="s">
        <v>49</v>
      </c>
      <c r="AG65" s="75">
        <f>ROUND(((X65*F65/3600)*0.8),4)</f>
        <v>2.8E-3</v>
      </c>
      <c r="AH65" s="75">
        <f>ROUND(((AB65+AC65+AD65)*0.8),4)</f>
        <v>1E-3</v>
      </c>
    </row>
    <row r="66" spans="1:36" ht="12.95" customHeight="1" x14ac:dyDescent="0.25">
      <c r="A66" s="570" t="s">
        <v>229</v>
      </c>
      <c r="B66" s="67" t="s">
        <v>212</v>
      </c>
      <c r="C66" s="1129"/>
      <c r="D66" s="67"/>
      <c r="E66" s="67"/>
      <c r="F66" s="67"/>
      <c r="G66" s="67"/>
      <c r="H66" s="67"/>
      <c r="I66" s="67"/>
      <c r="J66" s="67"/>
      <c r="K66" s="67"/>
      <c r="L66" s="68"/>
      <c r="M66" s="68"/>
      <c r="N66" s="67"/>
      <c r="O66" s="67"/>
      <c r="P66" s="67"/>
      <c r="Q66" s="69"/>
      <c r="R66" s="69"/>
      <c r="S66" s="70"/>
      <c r="T66" s="69"/>
      <c r="U66" s="69"/>
      <c r="V66" s="110"/>
      <c r="W66" s="111"/>
      <c r="X66" s="111"/>
      <c r="Y66" s="111"/>
      <c r="Z66" s="111"/>
      <c r="AA66" s="111"/>
      <c r="AB66" s="111"/>
      <c r="AC66" s="111"/>
      <c r="AD66" s="111"/>
      <c r="AE66" s="73" t="s">
        <v>51</v>
      </c>
      <c r="AF66" s="74" t="s">
        <v>52</v>
      </c>
      <c r="AG66" s="75">
        <f>ROUND(((X65*F65/3600)*0.13),4)</f>
        <v>5.0000000000000001E-4</v>
      </c>
      <c r="AH66" s="75">
        <f>ROUND(((AB65+AC65+AD65)*0.13),4)</f>
        <v>2.0000000000000001E-4</v>
      </c>
    </row>
    <row r="67" spans="1:36" ht="12.95" customHeight="1" x14ac:dyDescent="0.25">
      <c r="A67" s="571"/>
      <c r="B67" s="76" t="s">
        <v>215</v>
      </c>
      <c r="C67" s="76"/>
      <c r="D67" s="67"/>
      <c r="E67" s="67"/>
      <c r="F67" s="67"/>
      <c r="G67" s="67"/>
      <c r="H67" s="67"/>
      <c r="I67" s="67"/>
      <c r="J67" s="67"/>
      <c r="K67" s="67"/>
      <c r="L67" s="68"/>
      <c r="M67" s="68"/>
      <c r="N67" s="67"/>
      <c r="O67" s="67"/>
      <c r="P67" s="67"/>
      <c r="Q67" s="75">
        <v>0.09</v>
      </c>
      <c r="R67" s="78">
        <v>0.09</v>
      </c>
      <c r="S67" s="79">
        <v>9.7000000000000003E-2</v>
      </c>
      <c r="T67" s="78">
        <v>0.45</v>
      </c>
      <c r="U67" s="78">
        <v>0.56000000000000005</v>
      </c>
      <c r="V67" s="108">
        <f>ROUND((R67*N65+T67*L65+Q67*D65),4)</f>
        <v>0.45450000000000002</v>
      </c>
      <c r="W67" s="109">
        <f>ROUND((S67*0.9*O65+U67*0.9*L65+Q67*D65),4)</f>
        <v>0.61880000000000002</v>
      </c>
      <c r="X67" s="109">
        <f>ROUND((S67*P65+U67*L65+Q67*D65),4)</f>
        <v>2.0356000000000001</v>
      </c>
      <c r="Y67" s="109">
        <f>ROUND((T67*M65+Q67*E65),4)</f>
        <v>9.4500000000000001E-2</v>
      </c>
      <c r="Z67" s="109">
        <f>ROUND((U67*0.9*M65+Q67*E65),4)</f>
        <v>9.5000000000000001E-2</v>
      </c>
      <c r="AA67" s="109">
        <f>ROUND((U67*M65+Q67*E65),4)</f>
        <v>9.5600000000000004E-2</v>
      </c>
      <c r="AB67" s="109">
        <f>ROUND((H65*(V67+Y67)*G65*I65/1000000),5)</f>
        <v>1E-4</v>
      </c>
      <c r="AC67" s="109">
        <f>ROUND((H65*(W67+Z67)*G65*J65/1000000),5)</f>
        <v>3.0000000000000001E-5</v>
      </c>
      <c r="AD67" s="109">
        <f>ROUND((H65*(X67+AA67)*G65*K65/1000000),5)</f>
        <v>4.0000000000000003E-5</v>
      </c>
      <c r="AE67" s="73" t="s">
        <v>56</v>
      </c>
      <c r="AF67" s="74" t="s">
        <v>57</v>
      </c>
      <c r="AG67" s="75">
        <f>ROUND(((X67*F65/3600)),4)</f>
        <v>5.9999999999999995E-4</v>
      </c>
      <c r="AH67" s="75">
        <f>AB67+AC67+AD67</f>
        <v>1.7000000000000001E-4</v>
      </c>
    </row>
    <row r="68" spans="1:36" ht="12.95" customHeight="1" x14ac:dyDescent="0.25">
      <c r="A68" s="571"/>
      <c r="B68" s="77"/>
      <c r="C68" s="67"/>
      <c r="D68" s="67"/>
      <c r="E68" s="67"/>
      <c r="F68" s="67"/>
      <c r="G68" s="67"/>
      <c r="H68" s="67"/>
      <c r="I68" s="67"/>
      <c r="J68" s="67"/>
      <c r="K68" s="67"/>
      <c r="L68" s="68"/>
      <c r="M68" s="68"/>
      <c r="N68" s="67"/>
      <c r="O68" s="67"/>
      <c r="P68" s="67"/>
      <c r="Q68" s="75">
        <v>0.35</v>
      </c>
      <c r="R68" s="78">
        <v>0.38</v>
      </c>
      <c r="S68" s="75">
        <v>0.5</v>
      </c>
      <c r="T68" s="78">
        <v>0.9</v>
      </c>
      <c r="U68" s="78">
        <v>1.1000000000000001</v>
      </c>
      <c r="V68" s="108">
        <f>ROUND((R68*N65+T68*L65+Q68*D65),4)</f>
        <v>1.879</v>
      </c>
      <c r="W68" s="109">
        <f>ROUND((S68*0.9*O65+U68*0.9*L65+Q68*D65),4)</f>
        <v>3.0598999999999998</v>
      </c>
      <c r="X68" s="109">
        <f>ROUND((S68*P65+U68*L65+Q68*D65),4)</f>
        <v>10.361000000000001</v>
      </c>
      <c r="Y68" s="109">
        <f>ROUND((T68*M65+Q68*E65),4)</f>
        <v>0.35899999999999999</v>
      </c>
      <c r="Z68" s="109">
        <f>ROUND((U68*0.9*M65+Q68*E65),4)</f>
        <v>0.3599</v>
      </c>
      <c r="AA68" s="109">
        <f>ROUND((U68*M65+Q68*E65),4)</f>
        <v>0.36099999999999999</v>
      </c>
      <c r="AB68" s="109">
        <f>ROUND((H65*(V68+Y68)*G65*I65/1000000),4)</f>
        <v>4.0000000000000002E-4</v>
      </c>
      <c r="AC68" s="109">
        <f>ROUND((H65*(W68+Z68)*G65*J65/1000000),4)</f>
        <v>2.0000000000000001E-4</v>
      </c>
      <c r="AD68" s="109">
        <f>ROUND((H65*(X68+AA68)*G65*K65/1000000),4)</f>
        <v>2.0000000000000001E-4</v>
      </c>
      <c r="AE68" s="73" t="s">
        <v>177</v>
      </c>
      <c r="AF68" s="74" t="s">
        <v>178</v>
      </c>
      <c r="AG68" s="75">
        <f>ROUND(((X68*F65/3600)),4)</f>
        <v>2.8999999999999998E-3</v>
      </c>
      <c r="AH68" s="75">
        <f>AB68+AC68+AD68</f>
        <v>8.0000000000000004E-4</v>
      </c>
    </row>
    <row r="69" spans="1:36" ht="12.95" customHeight="1" x14ac:dyDescent="0.25">
      <c r="A69" s="572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8"/>
      <c r="M69" s="68"/>
      <c r="N69" s="67"/>
      <c r="O69" s="67"/>
      <c r="P69" s="67"/>
      <c r="Q69" s="75">
        <v>2.8</v>
      </c>
      <c r="R69" s="78">
        <v>2.8</v>
      </c>
      <c r="S69" s="75">
        <v>3.6</v>
      </c>
      <c r="T69" s="78">
        <v>5.0999999999999996</v>
      </c>
      <c r="U69" s="78">
        <v>6.2</v>
      </c>
      <c r="V69" s="167">
        <f>ROUND((R69*N65+T69*L65+Q69*D65),4)</f>
        <v>14.051</v>
      </c>
      <c r="W69" s="168">
        <f>ROUND((S69*0.9*O65+U69*0.9*L65+Q69*D65),4)</f>
        <v>22.2958</v>
      </c>
      <c r="X69" s="168">
        <f>ROUND((S69*P65+U69*L65+Q69*D65),4)</f>
        <v>74.861999999999995</v>
      </c>
      <c r="Y69" s="168">
        <f>ROUND((T69*M65+Q69*E65),4)</f>
        <v>2.851</v>
      </c>
      <c r="Z69" s="168">
        <f>ROUND((U69*0.9*M65+Q69*E65),4)</f>
        <v>2.8557999999999999</v>
      </c>
      <c r="AA69" s="168">
        <f>ROUND((U69*M65+Q69*E65),4)</f>
        <v>2.8620000000000001</v>
      </c>
      <c r="AB69" s="168">
        <f>ROUND((H65*(V69+Y69)*G65*I65/1000000),4)</f>
        <v>3.0000000000000001E-3</v>
      </c>
      <c r="AC69" s="168">
        <f>ROUND((H65*(W69+Z69)*G65*J65/1000000),4)</f>
        <v>1.1999999999999999E-3</v>
      </c>
      <c r="AD69" s="168">
        <f>ROUND((H65*(X69+AA69)*G65*K65/1000000),4)</f>
        <v>1.6000000000000001E-3</v>
      </c>
      <c r="AE69" s="73" t="s">
        <v>65</v>
      </c>
      <c r="AF69" s="74" t="s">
        <v>66</v>
      </c>
      <c r="AG69" s="75">
        <f>ROUND(((X69*F65/3600)),4)</f>
        <v>2.0799999999999999E-2</v>
      </c>
      <c r="AH69" s="75">
        <f>AB69+AC69+AD69</f>
        <v>5.7999999999999996E-3</v>
      </c>
    </row>
    <row r="70" spans="1:36" ht="12.95" customHeight="1" x14ac:dyDescent="0.25">
      <c r="A70" s="573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70"/>
      <c r="M70" s="70"/>
      <c r="N70" s="69"/>
      <c r="O70" s="69"/>
      <c r="P70" s="69"/>
      <c r="Q70" s="75">
        <v>0.03</v>
      </c>
      <c r="R70" s="78">
        <v>0.03</v>
      </c>
      <c r="S70" s="75">
        <v>0.06</v>
      </c>
      <c r="T70" s="78">
        <v>0.25</v>
      </c>
      <c r="U70" s="78">
        <v>0.35</v>
      </c>
      <c r="V70" s="167">
        <f>ROUND((R70*N65+T70*L65+Q70*D65),4)</f>
        <v>0.1525</v>
      </c>
      <c r="W70" s="168">
        <f>ROUND((S70*0.9*O65+U70*0.9*L65+Q70*D65),4)</f>
        <v>0.35720000000000002</v>
      </c>
      <c r="X70" s="168">
        <f>ROUND((S70*P65+U70*L65+Q70*D65),4)</f>
        <v>1.2335</v>
      </c>
      <c r="Y70" s="168">
        <f>ROUND((T70*M65+Q70*E65),4)</f>
        <v>3.2500000000000001E-2</v>
      </c>
      <c r="Z70" s="168">
        <f>ROUND((U70*0.9*M65+Q70*E65),4)</f>
        <v>3.32E-2</v>
      </c>
      <c r="AA70" s="168">
        <f>ROUND((U70*M65+Q70*E65),4)</f>
        <v>3.3500000000000002E-2</v>
      </c>
      <c r="AB70" s="168">
        <f>ROUND((H65*(V70+Y70)*G65*I65/1000000),5)</f>
        <v>3.0000000000000001E-5</v>
      </c>
      <c r="AC70" s="168">
        <f>ROUND((H65*(W70+Z70)*G65*J65/1000000),5)</f>
        <v>2.0000000000000002E-5</v>
      </c>
      <c r="AD70" s="168">
        <f>ROUND((H65*(X70+AA70)*G65*K65/1000000),5)</f>
        <v>3.0000000000000001E-5</v>
      </c>
      <c r="AE70" s="73" t="s">
        <v>213</v>
      </c>
      <c r="AF70" s="74" t="s">
        <v>62</v>
      </c>
      <c r="AG70" s="75">
        <f>ROUND(((X70*F65/3600)),4)</f>
        <v>2.9999999999999997E-4</v>
      </c>
      <c r="AH70" s="75">
        <f>AB70+AC70+AD70</f>
        <v>8.0000000000000007E-5</v>
      </c>
      <c r="AI70" s="61">
        <f>SUM(AG65:AG70)</f>
        <v>2.7900000000000001E-2</v>
      </c>
      <c r="AJ70" s="61">
        <f>SUM(AH65:AH70)</f>
        <v>8.0499999999999999E-3</v>
      </c>
    </row>
    <row r="71" spans="1:36" ht="12.95" customHeight="1" x14ac:dyDescent="0.25">
      <c r="A71" s="1518" t="s">
        <v>295</v>
      </c>
      <c r="B71" s="1519"/>
      <c r="C71" s="1519"/>
      <c r="D71" s="1519"/>
      <c r="E71" s="1519"/>
      <c r="F71" s="1519"/>
      <c r="G71" s="1519"/>
      <c r="H71" s="1519"/>
      <c r="I71" s="1519"/>
      <c r="J71" s="1519"/>
      <c r="K71" s="1519"/>
      <c r="L71" s="1519"/>
      <c r="M71" s="1519"/>
      <c r="N71" s="1519"/>
      <c r="O71" s="1519"/>
      <c r="P71" s="1519"/>
      <c r="Q71" s="1519"/>
      <c r="R71" s="1519"/>
      <c r="S71" s="1519"/>
      <c r="T71" s="1520"/>
      <c r="U71" s="1520"/>
      <c r="V71" s="1519"/>
      <c r="W71" s="1519"/>
      <c r="X71" s="1519"/>
      <c r="Y71" s="1519"/>
      <c r="Z71" s="1519"/>
      <c r="AA71" s="1519"/>
      <c r="AB71" s="1519"/>
      <c r="AC71" s="1519"/>
      <c r="AD71" s="1519"/>
      <c r="AE71" s="1519"/>
      <c r="AF71" s="1519"/>
      <c r="AG71" s="1519"/>
      <c r="AH71" s="1521"/>
    </row>
    <row r="72" spans="1:36" ht="12.95" customHeight="1" x14ac:dyDescent="0.25">
      <c r="A72" s="574" t="s">
        <v>296</v>
      </c>
      <c r="B72" s="93" t="s">
        <v>211</v>
      </c>
      <c r="C72" s="1109" t="s">
        <v>298</v>
      </c>
      <c r="D72" s="97">
        <v>1</v>
      </c>
      <c r="E72" s="97">
        <v>1</v>
      </c>
      <c r="F72" s="97">
        <v>1</v>
      </c>
      <c r="G72" s="97">
        <v>1</v>
      </c>
      <c r="H72" s="97">
        <f>ROUND((F72/G72),2)</f>
        <v>1</v>
      </c>
      <c r="I72" s="65">
        <v>180</v>
      </c>
      <c r="J72" s="65">
        <v>47</v>
      </c>
      <c r="K72" s="66">
        <v>20</v>
      </c>
      <c r="L72" s="98">
        <v>0.01</v>
      </c>
      <c r="M72" s="98">
        <v>0.01</v>
      </c>
      <c r="N72" s="97">
        <v>4</v>
      </c>
      <c r="O72" s="97">
        <v>6</v>
      </c>
      <c r="P72" s="97">
        <v>20</v>
      </c>
      <c r="Q72" s="97">
        <v>1</v>
      </c>
      <c r="R72" s="96">
        <v>1</v>
      </c>
      <c r="S72" s="97">
        <v>1</v>
      </c>
      <c r="T72" s="96">
        <v>4.5</v>
      </c>
      <c r="U72" s="96">
        <v>4.5</v>
      </c>
      <c r="V72" s="108">
        <f>ROUND((R72*N72+T72*L72+Q72*D72),4)</f>
        <v>5.0449999999999999</v>
      </c>
      <c r="W72" s="109">
        <f>ROUND((S72*O72+U72*L72+Q72*D72),4)</f>
        <v>7.0449999999999999</v>
      </c>
      <c r="X72" s="109">
        <f>ROUND((S72*P72+U72*L72+Q72*D72),4)</f>
        <v>21.045000000000002</v>
      </c>
      <c r="Y72" s="109">
        <f>ROUND((T72*M72+Q72*E72),4)</f>
        <v>1.0449999999999999</v>
      </c>
      <c r="Z72" s="109">
        <f>ROUND((U72*M72+Q72*E72),4)</f>
        <v>1.0449999999999999</v>
      </c>
      <c r="AA72" s="109">
        <f>ROUND((U72*M72+Q72*E72),4)</f>
        <v>1.0449999999999999</v>
      </c>
      <c r="AB72" s="109">
        <f>ROUND((H72*(V72+Y72)*G72*I72/1000000),4)</f>
        <v>1.1000000000000001E-3</v>
      </c>
      <c r="AC72" s="109">
        <f>ROUND((H72*(W72+Z72)*G72*J72/1000000),4)</f>
        <v>4.0000000000000002E-4</v>
      </c>
      <c r="AD72" s="109">
        <f>ROUND((H72*(X72+AA72)*G72*K72/1000000),4)</f>
        <v>4.0000000000000002E-4</v>
      </c>
      <c r="AE72" s="103" t="s">
        <v>48</v>
      </c>
      <c r="AF72" s="104" t="s">
        <v>49</v>
      </c>
      <c r="AG72" s="105">
        <f>ROUND(((X72*F72/3600)*0.8),4)</f>
        <v>4.7000000000000002E-3</v>
      </c>
      <c r="AH72" s="105">
        <f>ROUND(((AB72+AC72+AD72)*0.8),4)</f>
        <v>1.5E-3</v>
      </c>
    </row>
    <row r="73" spans="1:36" ht="12.95" customHeight="1" x14ac:dyDescent="0.25">
      <c r="A73" s="575" t="s">
        <v>150</v>
      </c>
      <c r="B73" s="95" t="s">
        <v>212</v>
      </c>
      <c r="C73" s="1110"/>
      <c r="D73" s="94"/>
      <c r="E73" s="94"/>
      <c r="F73" s="94"/>
      <c r="G73" s="94"/>
      <c r="H73" s="94"/>
      <c r="I73" s="94"/>
      <c r="J73" s="94"/>
      <c r="K73" s="94"/>
      <c r="L73" s="99"/>
      <c r="M73" s="99"/>
      <c r="N73" s="94"/>
      <c r="O73" s="94"/>
      <c r="P73" s="94"/>
      <c r="Q73" s="92"/>
      <c r="R73" s="101"/>
      <c r="S73" s="102"/>
      <c r="T73" s="101"/>
      <c r="U73" s="101"/>
      <c r="V73" s="110"/>
      <c r="W73" s="111"/>
      <c r="X73" s="111"/>
      <c r="Y73" s="111"/>
      <c r="Z73" s="111"/>
      <c r="AA73" s="111"/>
      <c r="AB73" s="111"/>
      <c r="AC73" s="111"/>
      <c r="AD73" s="111"/>
      <c r="AE73" s="103" t="s">
        <v>51</v>
      </c>
      <c r="AF73" s="104" t="s">
        <v>52</v>
      </c>
      <c r="AG73" s="105">
        <f>ROUND(((X72*F72/3600)*0.13),4)</f>
        <v>8.0000000000000004E-4</v>
      </c>
      <c r="AH73" s="105">
        <f>ROUND(((AB72+AC72+AD72)*0.13),4)</f>
        <v>2.0000000000000001E-4</v>
      </c>
    </row>
    <row r="74" spans="1:36" ht="12.95" customHeight="1" x14ac:dyDescent="0.25">
      <c r="A74" s="576"/>
      <c r="B74" s="95" t="s">
        <v>297</v>
      </c>
      <c r="C74" s="95"/>
      <c r="D74" s="94"/>
      <c r="E74" s="94"/>
      <c r="F74" s="94"/>
      <c r="G74" s="94"/>
      <c r="H74" s="94"/>
      <c r="I74" s="94"/>
      <c r="J74" s="94"/>
      <c r="K74" s="94"/>
      <c r="L74" s="99"/>
      <c r="M74" s="99"/>
      <c r="N74" s="94"/>
      <c r="O74" s="94"/>
      <c r="P74" s="94"/>
      <c r="Q74" s="105">
        <v>0.1</v>
      </c>
      <c r="R74" s="106">
        <v>0.113</v>
      </c>
      <c r="S74" s="107">
        <v>0.122</v>
      </c>
      <c r="T74" s="106">
        <v>0.78</v>
      </c>
      <c r="U74" s="106">
        <v>0.97</v>
      </c>
      <c r="V74" s="108">
        <f>ROUND((R74*N72+T74*L72+Q74*D72),4)</f>
        <v>0.55979999999999996</v>
      </c>
      <c r="W74" s="109">
        <f>ROUND((S74*0.9*O72+U74*0.9*L72+Q74*D72),4)</f>
        <v>0.76749999999999996</v>
      </c>
      <c r="X74" s="109">
        <f>ROUND((S74*P72+U74*L72+Q74*D72),4)</f>
        <v>2.5497000000000001</v>
      </c>
      <c r="Y74" s="109">
        <f>ROUND((T74*M72+Q74*E72),4)</f>
        <v>0.10780000000000001</v>
      </c>
      <c r="Z74" s="109">
        <f>ROUND((U74*0.9*M72+Q74*E72),4)</f>
        <v>0.1087</v>
      </c>
      <c r="AA74" s="109">
        <f>ROUND((U74*M72+Q74*E72),4)</f>
        <v>0.10970000000000001</v>
      </c>
      <c r="AB74" s="109">
        <f>ROUND((H72*(V74+Y74)*G72*I72/1000000),5)</f>
        <v>1.2E-4</v>
      </c>
      <c r="AC74" s="109">
        <f>ROUND((H72*(W74+Z74)*G72*J72/1000000),5)</f>
        <v>4.0000000000000003E-5</v>
      </c>
      <c r="AD74" s="109">
        <f>ROUND((H72*(X74+AA74)*G72*K72/1000000),5)</f>
        <v>5.0000000000000002E-5</v>
      </c>
      <c r="AE74" s="103" t="s">
        <v>56</v>
      </c>
      <c r="AF74" s="104" t="s">
        <v>57</v>
      </c>
      <c r="AG74" s="105">
        <f>ROUND(((X74*F72/3600)),4)</f>
        <v>6.9999999999999999E-4</v>
      </c>
      <c r="AH74" s="105">
        <f>AB74+AC74+AD74</f>
        <v>2.1000000000000001E-4</v>
      </c>
    </row>
    <row r="75" spans="1:36" ht="12.95" customHeight="1" x14ac:dyDescent="0.25">
      <c r="A75" s="576"/>
      <c r="B75" s="100"/>
      <c r="C75" s="94"/>
      <c r="D75" s="94"/>
      <c r="E75" s="94"/>
      <c r="F75" s="94"/>
      <c r="G75" s="94"/>
      <c r="H75" s="94"/>
      <c r="I75" s="94"/>
      <c r="J75" s="94"/>
      <c r="K75" s="94"/>
      <c r="L75" s="99"/>
      <c r="M75" s="99"/>
      <c r="N75" s="94"/>
      <c r="O75" s="94"/>
      <c r="P75" s="94"/>
      <c r="Q75" s="105">
        <v>0.45</v>
      </c>
      <c r="R75" s="106">
        <v>0.4</v>
      </c>
      <c r="S75" s="105">
        <v>0.7</v>
      </c>
      <c r="T75" s="106">
        <v>1.1000000000000001</v>
      </c>
      <c r="U75" s="106">
        <v>1.3</v>
      </c>
      <c r="V75" s="108">
        <f>ROUND((R75*N72+T75*L72+Q75*D72),4)</f>
        <v>2.0609999999999999</v>
      </c>
      <c r="W75" s="109">
        <f>ROUND((S75*0.9*O72+U75*0.9*L72+Q75*D72),4)</f>
        <v>4.2416999999999998</v>
      </c>
      <c r="X75" s="109">
        <f>ROUND((S75*P72+U75*L72+Q75*D72),4)</f>
        <v>14.462999999999999</v>
      </c>
      <c r="Y75" s="109">
        <f>ROUND((T75*M72+Q75*E72),4)</f>
        <v>0.46100000000000002</v>
      </c>
      <c r="Z75" s="109">
        <f>ROUND((U75*0.9*M72+Q75*E72),4)</f>
        <v>0.4617</v>
      </c>
      <c r="AA75" s="109">
        <f>ROUND((U75*M72+Q75*E72),4)</f>
        <v>0.46300000000000002</v>
      </c>
      <c r="AB75" s="109">
        <f>ROUND((H72*(V75+Y75)*G72*I72/1000000),4)</f>
        <v>5.0000000000000001E-4</v>
      </c>
      <c r="AC75" s="109">
        <f>ROUND((H72*(W75+Z75)*G72*J72/1000000),4)</f>
        <v>2.0000000000000001E-4</v>
      </c>
      <c r="AD75" s="109">
        <f>ROUND((H72*(X75+AA75)*G72*K72/1000000),4)</f>
        <v>2.9999999999999997E-4</v>
      </c>
      <c r="AE75" s="103" t="s">
        <v>177</v>
      </c>
      <c r="AF75" s="104" t="s">
        <v>178</v>
      </c>
      <c r="AG75" s="105">
        <f>ROUND(((X75*F72/3600)),4)</f>
        <v>4.0000000000000001E-3</v>
      </c>
      <c r="AH75" s="105">
        <f>AB75+AC75+AD75</f>
        <v>1E-3</v>
      </c>
    </row>
    <row r="76" spans="1:36" ht="12.95" customHeight="1" x14ac:dyDescent="0.25">
      <c r="A76" s="577"/>
      <c r="B76" s="95"/>
      <c r="C76" s="94"/>
      <c r="D76" s="94"/>
      <c r="E76" s="94"/>
      <c r="F76" s="94"/>
      <c r="G76" s="94"/>
      <c r="H76" s="94"/>
      <c r="I76" s="94"/>
      <c r="J76" s="94"/>
      <c r="K76" s="94"/>
      <c r="L76" s="99"/>
      <c r="M76" s="99"/>
      <c r="N76" s="94"/>
      <c r="O76" s="94"/>
      <c r="P76" s="94"/>
      <c r="Q76" s="105">
        <v>2.9</v>
      </c>
      <c r="R76" s="106">
        <v>3</v>
      </c>
      <c r="S76" s="105">
        <v>5.3</v>
      </c>
      <c r="T76" s="106">
        <v>7.5</v>
      </c>
      <c r="U76" s="106">
        <v>9.3000000000000007</v>
      </c>
      <c r="V76" s="167">
        <f>ROUND((R76*N72+T76*L72+Q76*D72),4)</f>
        <v>14.975</v>
      </c>
      <c r="W76" s="168">
        <f>ROUND((S76*0.9*O72+U76*0.9*L72+Q76*D72),4)</f>
        <v>31.6037</v>
      </c>
      <c r="X76" s="168">
        <f>ROUND((S76*P72+U76*L72+Q76*D72),4)</f>
        <v>108.99299999999999</v>
      </c>
      <c r="Y76" s="168">
        <f>ROUND((T76*M72+Q76*E72),4)</f>
        <v>2.9750000000000001</v>
      </c>
      <c r="Z76" s="168">
        <f>ROUND((U76*0.9*M72+Q76*E72),4)</f>
        <v>2.9836999999999998</v>
      </c>
      <c r="AA76" s="168">
        <f>ROUND((U76*M72+Q76*E72),4)</f>
        <v>2.9929999999999999</v>
      </c>
      <c r="AB76" s="168">
        <f>ROUND((H72*(V76+Y76)*G72*I72/1000000),4)</f>
        <v>3.2000000000000002E-3</v>
      </c>
      <c r="AC76" s="168">
        <f>ROUND((H72*(W76+Z76)*G72*J72/1000000),4)</f>
        <v>1.6000000000000001E-3</v>
      </c>
      <c r="AD76" s="168">
        <f>ROUND((H72*(X76+AA76)*G72*K72/1000000),4)</f>
        <v>2.2000000000000001E-3</v>
      </c>
      <c r="AE76" s="103" t="s">
        <v>65</v>
      </c>
      <c r="AF76" s="104" t="s">
        <v>66</v>
      </c>
      <c r="AG76" s="105">
        <f>ROUND(((X76*F72/3600)),4)</f>
        <v>3.0300000000000001E-2</v>
      </c>
      <c r="AH76" s="105">
        <f>AB76+AC76+AD76</f>
        <v>7.000000000000001E-3</v>
      </c>
    </row>
    <row r="77" spans="1:36" ht="12.95" customHeight="1" x14ac:dyDescent="0.25">
      <c r="A77" s="577"/>
      <c r="B77" s="125"/>
      <c r="C77" s="101"/>
      <c r="D77" s="101"/>
      <c r="E77" s="101"/>
      <c r="F77" s="101"/>
      <c r="G77" s="101"/>
      <c r="H77" s="101"/>
      <c r="I77" s="101"/>
      <c r="J77" s="101"/>
      <c r="K77" s="101"/>
      <c r="L77" s="102"/>
      <c r="M77" s="102"/>
      <c r="N77" s="101"/>
      <c r="O77" s="101"/>
      <c r="P77" s="101"/>
      <c r="Q77" s="105">
        <v>0.04</v>
      </c>
      <c r="R77" s="106">
        <v>0.04</v>
      </c>
      <c r="S77" s="105">
        <v>0.08</v>
      </c>
      <c r="T77" s="106">
        <v>0.4</v>
      </c>
      <c r="U77" s="106">
        <v>0.5</v>
      </c>
      <c r="V77" s="167">
        <f>ROUND((R77*N72+T77*L72+Q77*D72),4)</f>
        <v>0.20399999999999999</v>
      </c>
      <c r="W77" s="168">
        <f>ROUND((S77*0.9*O72+U77*0.9*L72+Q77*D72),4)</f>
        <v>0.47649999999999998</v>
      </c>
      <c r="X77" s="168">
        <f>ROUND((S77*P72+U77*L72+Q77*D72),4)</f>
        <v>1.645</v>
      </c>
      <c r="Y77" s="168">
        <f>ROUND((T77*M72+Q77*E72),4)</f>
        <v>4.3999999999999997E-2</v>
      </c>
      <c r="Z77" s="168">
        <f>ROUND((U77*0.9*M72+Q77*E72),4)</f>
        <v>4.4499999999999998E-2</v>
      </c>
      <c r="AA77" s="168">
        <f>ROUND((U77*M72+Q77*E72),4)</f>
        <v>4.4999999999999998E-2</v>
      </c>
      <c r="AB77" s="168">
        <f>ROUND((H72*(V77+Y77)*G72*I72/1000000),5)</f>
        <v>4.0000000000000003E-5</v>
      </c>
      <c r="AC77" s="168">
        <f>ROUND((H72*(W77+Z77)*G72*J72/1000000),5)</f>
        <v>2.0000000000000002E-5</v>
      </c>
      <c r="AD77" s="168">
        <f>ROUND((H72*(X77+AA77)*G72*K72/1000000),5)</f>
        <v>3.0000000000000001E-5</v>
      </c>
      <c r="AE77" s="103" t="s">
        <v>213</v>
      </c>
      <c r="AF77" s="104" t="s">
        <v>62</v>
      </c>
      <c r="AG77" s="105">
        <f>ROUND(((X77*F72/3600)),4)</f>
        <v>5.0000000000000001E-4</v>
      </c>
      <c r="AH77" s="105">
        <f>AB77+AC77+AD77</f>
        <v>9.0000000000000006E-5</v>
      </c>
    </row>
    <row r="78" spans="1:36" ht="12.95" customHeight="1" x14ac:dyDescent="0.25">
      <c r="A78" s="578"/>
      <c r="B78" s="71" t="s">
        <v>211</v>
      </c>
      <c r="C78" s="1128" t="s">
        <v>323</v>
      </c>
      <c r="D78" s="65">
        <v>1</v>
      </c>
      <c r="E78" s="65">
        <v>1</v>
      </c>
      <c r="F78" s="65">
        <v>1</v>
      </c>
      <c r="G78" s="65">
        <v>1</v>
      </c>
      <c r="H78" s="65">
        <f>ROUND((F78/G78),2)</f>
        <v>1</v>
      </c>
      <c r="I78" s="65">
        <v>180</v>
      </c>
      <c r="J78" s="65">
        <v>47</v>
      </c>
      <c r="K78" s="66">
        <v>20</v>
      </c>
      <c r="L78" s="66">
        <v>0.01</v>
      </c>
      <c r="M78" s="66">
        <v>0.01</v>
      </c>
      <c r="N78" s="65">
        <v>4</v>
      </c>
      <c r="O78" s="65">
        <v>6</v>
      </c>
      <c r="P78" s="65">
        <v>20</v>
      </c>
      <c r="Q78" s="65">
        <v>0.6</v>
      </c>
      <c r="R78" s="72">
        <v>0.6</v>
      </c>
      <c r="S78" s="65">
        <v>0.6</v>
      </c>
      <c r="T78" s="72">
        <v>3.5</v>
      </c>
      <c r="U78" s="72">
        <v>3.5</v>
      </c>
      <c r="V78" s="108">
        <f>ROUND((R78*N78+T78*L78+Q78*D78),4)</f>
        <v>3.0350000000000001</v>
      </c>
      <c r="W78" s="109">
        <f>ROUND((S78*O78+U78*L78+Q78*D78),4)</f>
        <v>4.2350000000000003</v>
      </c>
      <c r="X78" s="109">
        <f>ROUND((S78*P78+U78*L78+Q78*D78),4)</f>
        <v>12.635</v>
      </c>
      <c r="Y78" s="109">
        <f>ROUND((T78*M78+Q78*E78),4)</f>
        <v>0.63500000000000001</v>
      </c>
      <c r="Z78" s="109">
        <f>ROUND((U78*M78+Q78*E78),4)</f>
        <v>0.63500000000000001</v>
      </c>
      <c r="AA78" s="109">
        <f>ROUND((U78*M78+Q78*E78),4)</f>
        <v>0.63500000000000001</v>
      </c>
      <c r="AB78" s="109">
        <f>ROUND((H78*(V78+Y78)*G78*I78/1000000),4)</f>
        <v>6.9999999999999999E-4</v>
      </c>
      <c r="AC78" s="109">
        <f>ROUND((H78*(W78+Z78)*G78*J78/1000000),4)</f>
        <v>2.0000000000000001E-4</v>
      </c>
      <c r="AD78" s="109">
        <f>ROUND((H78*(X78+AA78)*G78*K78/1000000),4)</f>
        <v>2.9999999999999997E-4</v>
      </c>
      <c r="AE78" s="73" t="s">
        <v>48</v>
      </c>
      <c r="AF78" s="74" t="s">
        <v>49</v>
      </c>
      <c r="AG78" s="75">
        <f>ROUND(((X78*F78/3600)*0.8),4)</f>
        <v>2.8E-3</v>
      </c>
      <c r="AH78" s="75">
        <f>ROUND(((AB78+AC78+AD78)*0.8),4)</f>
        <v>1E-3</v>
      </c>
    </row>
    <row r="79" spans="1:36" ht="12.95" customHeight="1" x14ac:dyDescent="0.25">
      <c r="A79" s="578"/>
      <c r="B79" s="76" t="s">
        <v>212</v>
      </c>
      <c r="C79" s="1129"/>
      <c r="D79" s="67"/>
      <c r="E79" s="67"/>
      <c r="F79" s="67"/>
      <c r="G79" s="67"/>
      <c r="H79" s="67"/>
      <c r="I79" s="67"/>
      <c r="J79" s="67"/>
      <c r="K79" s="67"/>
      <c r="L79" s="68"/>
      <c r="M79" s="68"/>
      <c r="N79" s="67"/>
      <c r="O79" s="67"/>
      <c r="P79" s="67"/>
      <c r="Q79" s="69"/>
      <c r="R79" s="69"/>
      <c r="S79" s="70"/>
      <c r="T79" s="69"/>
      <c r="U79" s="69"/>
      <c r="V79" s="110"/>
      <c r="W79" s="111"/>
      <c r="X79" s="111"/>
      <c r="Y79" s="111"/>
      <c r="Z79" s="111"/>
      <c r="AA79" s="111"/>
      <c r="AB79" s="111"/>
      <c r="AC79" s="111"/>
      <c r="AD79" s="111"/>
      <c r="AE79" s="73" t="s">
        <v>51</v>
      </c>
      <c r="AF79" s="74" t="s">
        <v>52</v>
      </c>
      <c r="AG79" s="75">
        <f>ROUND(((X78*F78/3600)*0.13),4)</f>
        <v>5.0000000000000001E-4</v>
      </c>
      <c r="AH79" s="75">
        <f>ROUND(((AB78+AC78+AD78)*0.13),4)</f>
        <v>2.0000000000000001E-4</v>
      </c>
    </row>
    <row r="80" spans="1:36" ht="12.95" customHeight="1" x14ac:dyDescent="0.25">
      <c r="A80" s="578"/>
      <c r="B80" s="76" t="s">
        <v>322</v>
      </c>
      <c r="C80" s="76"/>
      <c r="D80" s="67"/>
      <c r="E80" s="67"/>
      <c r="F80" s="67"/>
      <c r="G80" s="67"/>
      <c r="H80" s="67"/>
      <c r="I80" s="67"/>
      <c r="J80" s="67"/>
      <c r="K80" s="67"/>
      <c r="L80" s="68"/>
      <c r="M80" s="68"/>
      <c r="N80" s="67"/>
      <c r="O80" s="67"/>
      <c r="P80" s="67"/>
      <c r="Q80" s="75">
        <v>0.09</v>
      </c>
      <c r="R80" s="78">
        <v>0.09</v>
      </c>
      <c r="S80" s="79">
        <v>9.7000000000000003E-2</v>
      </c>
      <c r="T80" s="78">
        <v>0.45</v>
      </c>
      <c r="U80" s="78">
        <v>0.56000000000000005</v>
      </c>
      <c r="V80" s="108">
        <f>ROUND((R80*N78+T80*L78+Q80*D78),4)</f>
        <v>0.45450000000000002</v>
      </c>
      <c r="W80" s="109">
        <f>ROUND((S80*0.9*O78+U80*0.9*L78+Q80*D78),4)</f>
        <v>0.61880000000000002</v>
      </c>
      <c r="X80" s="109">
        <f>ROUND((S80*P78+U80*L78+Q80*D78),4)</f>
        <v>2.0356000000000001</v>
      </c>
      <c r="Y80" s="109">
        <f>ROUND((T80*M78+Q80*E78),4)</f>
        <v>9.4500000000000001E-2</v>
      </c>
      <c r="Z80" s="109">
        <f>ROUND((U80*0.9*M78+Q80*E78),4)</f>
        <v>9.5000000000000001E-2</v>
      </c>
      <c r="AA80" s="109">
        <f>ROUND((U80*M78+Q80*E78),4)</f>
        <v>9.5600000000000004E-2</v>
      </c>
      <c r="AB80" s="109">
        <f>ROUND((H78*(V80+Y80)*G78*I78/1000000),5)</f>
        <v>1E-4</v>
      </c>
      <c r="AC80" s="109">
        <f>ROUND((H78*(W80+Z80)*G78*J78/1000000),5)</f>
        <v>3.0000000000000001E-5</v>
      </c>
      <c r="AD80" s="109">
        <f>ROUND((H78*(X80+AA80)*G78*K78/1000000),5)</f>
        <v>4.0000000000000003E-5</v>
      </c>
      <c r="AE80" s="73" t="s">
        <v>56</v>
      </c>
      <c r="AF80" s="74" t="s">
        <v>57</v>
      </c>
      <c r="AG80" s="75">
        <f>ROUND(((X80*F78/3600)),4)</f>
        <v>5.9999999999999995E-4</v>
      </c>
      <c r="AH80" s="75">
        <f>AB80+AC80+AD80</f>
        <v>1.7000000000000001E-4</v>
      </c>
    </row>
    <row r="81" spans="1:34" ht="12.95" customHeight="1" x14ac:dyDescent="0.25">
      <c r="A81" s="578"/>
      <c r="B81" s="77"/>
      <c r="C81" s="67"/>
      <c r="D81" s="67"/>
      <c r="E81" s="67"/>
      <c r="F81" s="67"/>
      <c r="G81" s="67"/>
      <c r="H81" s="67"/>
      <c r="I81" s="67"/>
      <c r="J81" s="67"/>
      <c r="K81" s="67"/>
      <c r="L81" s="68"/>
      <c r="M81" s="68"/>
      <c r="N81" s="67"/>
      <c r="O81" s="67"/>
      <c r="P81" s="67"/>
      <c r="Q81" s="75">
        <v>0.35</v>
      </c>
      <c r="R81" s="78">
        <v>0.38</v>
      </c>
      <c r="S81" s="75">
        <v>0.5</v>
      </c>
      <c r="T81" s="78">
        <v>0.9</v>
      </c>
      <c r="U81" s="78">
        <v>1.1000000000000001</v>
      </c>
      <c r="V81" s="108">
        <f>ROUND((R81*N78+T81*L78+Q81*D78),4)</f>
        <v>1.879</v>
      </c>
      <c r="W81" s="109">
        <f>ROUND((S81*0.9*O78+U81*0.9*L78+Q81*D78),4)</f>
        <v>3.0598999999999998</v>
      </c>
      <c r="X81" s="109">
        <f>ROUND((S81*P78+U81*L78+Q81*D78),4)</f>
        <v>10.361000000000001</v>
      </c>
      <c r="Y81" s="109">
        <f>ROUND((T81*M78+Q81*E78),4)</f>
        <v>0.35899999999999999</v>
      </c>
      <c r="Z81" s="109">
        <f>ROUND((U81*0.9*M78+Q81*E78),4)</f>
        <v>0.3599</v>
      </c>
      <c r="AA81" s="109">
        <f>ROUND((U81*M78+Q81*E78),4)</f>
        <v>0.36099999999999999</v>
      </c>
      <c r="AB81" s="109">
        <f>ROUND((H78*(V81+Y81)*G78*I78/1000000),4)</f>
        <v>4.0000000000000002E-4</v>
      </c>
      <c r="AC81" s="109">
        <f>ROUND((H78*(W81+Z81)*G78*J78/1000000),4)</f>
        <v>2.0000000000000001E-4</v>
      </c>
      <c r="AD81" s="109">
        <f>ROUND((H78*(X81+AA81)*G78*K78/1000000),4)</f>
        <v>2.0000000000000001E-4</v>
      </c>
      <c r="AE81" s="73" t="s">
        <v>177</v>
      </c>
      <c r="AF81" s="74" t="s">
        <v>178</v>
      </c>
      <c r="AG81" s="75">
        <f>ROUND(((X81*F78/3600)),4)</f>
        <v>2.8999999999999998E-3</v>
      </c>
      <c r="AH81" s="75">
        <f>AB81+AC81+AD81</f>
        <v>8.0000000000000004E-4</v>
      </c>
    </row>
    <row r="82" spans="1:34" ht="12.95" customHeight="1" x14ac:dyDescent="0.25">
      <c r="A82" s="578"/>
      <c r="B82" s="76"/>
      <c r="C82" s="67"/>
      <c r="D82" s="67"/>
      <c r="E82" s="67"/>
      <c r="F82" s="67"/>
      <c r="G82" s="67"/>
      <c r="H82" s="67"/>
      <c r="I82" s="67"/>
      <c r="J82" s="67"/>
      <c r="K82" s="67"/>
      <c r="L82" s="68"/>
      <c r="M82" s="68"/>
      <c r="N82" s="67"/>
      <c r="O82" s="67"/>
      <c r="P82" s="67"/>
      <c r="Q82" s="75">
        <v>2.8</v>
      </c>
      <c r="R82" s="78">
        <v>2.8</v>
      </c>
      <c r="S82" s="75">
        <v>3.6</v>
      </c>
      <c r="T82" s="78">
        <v>5.0999999999999996</v>
      </c>
      <c r="U82" s="78">
        <v>6.2</v>
      </c>
      <c r="V82" s="167">
        <f>ROUND((R82*N78+T82*L78+Q82*D78),4)</f>
        <v>14.051</v>
      </c>
      <c r="W82" s="168">
        <f>ROUND((S82*0.9*O78+U82*0.9*L78+Q82*D78),4)</f>
        <v>22.2958</v>
      </c>
      <c r="X82" s="168">
        <f>ROUND((S82*P78+U82*L78+Q82*D78),4)</f>
        <v>74.861999999999995</v>
      </c>
      <c r="Y82" s="168">
        <f>ROUND((T82*M78+Q82*E78),4)</f>
        <v>2.851</v>
      </c>
      <c r="Z82" s="168">
        <f>ROUND((U82*0.9*M78+Q82*E78),4)</f>
        <v>2.8557999999999999</v>
      </c>
      <c r="AA82" s="168">
        <f>ROUND((U82*M78+Q82*E78),4)</f>
        <v>2.8620000000000001</v>
      </c>
      <c r="AB82" s="168">
        <f>ROUND((H78*(V82+Y82)*G78*I78/1000000),4)</f>
        <v>3.0000000000000001E-3</v>
      </c>
      <c r="AC82" s="168">
        <f>ROUND((H78*(W82+Z82)*G78*J78/1000000),4)</f>
        <v>1.1999999999999999E-3</v>
      </c>
      <c r="AD82" s="168">
        <f>ROUND((H78*(X82+AA82)*G78*K78/1000000),4)</f>
        <v>1.6000000000000001E-3</v>
      </c>
      <c r="AE82" s="73" t="s">
        <v>65</v>
      </c>
      <c r="AF82" s="74" t="s">
        <v>66</v>
      </c>
      <c r="AG82" s="75">
        <f>ROUND(((X82*F78/3600)),4)</f>
        <v>2.0799999999999999E-2</v>
      </c>
      <c r="AH82" s="75">
        <f>AB82+AC82+AD82</f>
        <v>5.7999999999999996E-3</v>
      </c>
    </row>
    <row r="83" spans="1:34" ht="12.95" customHeight="1" x14ac:dyDescent="0.25">
      <c r="A83" s="578"/>
      <c r="B83" s="126"/>
      <c r="C83" s="69"/>
      <c r="D83" s="69"/>
      <c r="E83" s="69"/>
      <c r="F83" s="69"/>
      <c r="G83" s="69"/>
      <c r="H83" s="69"/>
      <c r="I83" s="69"/>
      <c r="J83" s="69"/>
      <c r="K83" s="69"/>
      <c r="L83" s="70"/>
      <c r="M83" s="70"/>
      <c r="N83" s="69"/>
      <c r="O83" s="69"/>
      <c r="P83" s="69"/>
      <c r="Q83" s="75">
        <v>0.03</v>
      </c>
      <c r="R83" s="78">
        <v>0.03</v>
      </c>
      <c r="S83" s="75">
        <v>0.06</v>
      </c>
      <c r="T83" s="78">
        <v>0.25</v>
      </c>
      <c r="U83" s="78">
        <v>0.35</v>
      </c>
      <c r="V83" s="167">
        <f>ROUND((R83*N78+T83*L78+Q83*D78),4)</f>
        <v>0.1525</v>
      </c>
      <c r="W83" s="168">
        <f>ROUND((S83*0.9*O78+U83*0.9*L78+Q83*D78),4)</f>
        <v>0.35720000000000002</v>
      </c>
      <c r="X83" s="168">
        <f>ROUND((S83*P78+U83*L78+Q83*D78),4)</f>
        <v>1.2335</v>
      </c>
      <c r="Y83" s="168">
        <f>ROUND((T83*M78+Q83*E78),4)</f>
        <v>3.2500000000000001E-2</v>
      </c>
      <c r="Z83" s="168">
        <f>ROUND((U83*0.9*M78+Q83*E78),4)</f>
        <v>3.32E-2</v>
      </c>
      <c r="AA83" s="168">
        <f>ROUND((U83*M78+Q83*E78),4)</f>
        <v>3.3500000000000002E-2</v>
      </c>
      <c r="AB83" s="168">
        <f>ROUND((H78*(V83+Y83)*G78*I78/1000000),5)</f>
        <v>3.0000000000000001E-5</v>
      </c>
      <c r="AC83" s="168">
        <f>ROUND((H78*(W83+Z83)*G78*J78/1000000),5)</f>
        <v>2.0000000000000002E-5</v>
      </c>
      <c r="AD83" s="168">
        <f>ROUND((H78*(X83+AA83)*G78*K78/1000000),5)</f>
        <v>3.0000000000000001E-5</v>
      </c>
      <c r="AE83" s="73" t="s">
        <v>213</v>
      </c>
      <c r="AF83" s="74" t="s">
        <v>62</v>
      </c>
      <c r="AG83" s="75">
        <f>ROUND(((X83*F78/3600)),4)</f>
        <v>2.9999999999999997E-4</v>
      </c>
      <c r="AH83" s="75">
        <f>AB83+AC83+AD83</f>
        <v>8.0000000000000007E-5</v>
      </c>
    </row>
    <row r="84" spans="1:34" ht="12.95" customHeight="1" x14ac:dyDescent="0.25">
      <c r="A84" s="578"/>
      <c r="B84" s="71" t="s">
        <v>211</v>
      </c>
      <c r="C84" s="1128" t="s">
        <v>325</v>
      </c>
      <c r="D84" s="65">
        <v>1</v>
      </c>
      <c r="E84" s="65">
        <v>1</v>
      </c>
      <c r="F84" s="65">
        <v>1</v>
      </c>
      <c r="G84" s="65">
        <v>1</v>
      </c>
      <c r="H84" s="65">
        <f>ROUND((F84/G84),2)</f>
        <v>1</v>
      </c>
      <c r="I84" s="65">
        <v>180</v>
      </c>
      <c r="J84" s="65">
        <v>47</v>
      </c>
      <c r="K84" s="66">
        <v>20</v>
      </c>
      <c r="L84" s="66">
        <v>0.01</v>
      </c>
      <c r="M84" s="66">
        <v>0.01</v>
      </c>
      <c r="N84" s="65">
        <v>4</v>
      </c>
      <c r="O84" s="65">
        <v>6</v>
      </c>
      <c r="P84" s="65">
        <v>20</v>
      </c>
      <c r="Q84" s="65">
        <v>0.16</v>
      </c>
      <c r="R84" s="72">
        <v>0.4</v>
      </c>
      <c r="S84" s="65">
        <v>0.4</v>
      </c>
      <c r="T84" s="72">
        <v>2.2000000000000002</v>
      </c>
      <c r="U84" s="72">
        <v>2.2000000000000002</v>
      </c>
      <c r="V84" s="108">
        <f>ROUND((R84*N84+T84*L84+Q84*D84),4)</f>
        <v>1.782</v>
      </c>
      <c r="W84" s="109">
        <f>ROUND((S84*O84+U84*L84+Q84*D84),4)</f>
        <v>2.5819999999999999</v>
      </c>
      <c r="X84" s="109">
        <f>ROUND((S84*P84+U84*L84+Q84*D84),4)</f>
        <v>8.1820000000000004</v>
      </c>
      <c r="Y84" s="109">
        <f>ROUND((T84*M84+Q84*E84),4)</f>
        <v>0.182</v>
      </c>
      <c r="Z84" s="109">
        <f>ROUND((U84*M84+Q84*E84),4)</f>
        <v>0.182</v>
      </c>
      <c r="AA84" s="109">
        <f>ROUND((U84*M84+Q84*E84),4)</f>
        <v>0.182</v>
      </c>
      <c r="AB84" s="109">
        <f>ROUND((H84*(V84+Y84)*G84*I84/1000000),4)</f>
        <v>4.0000000000000002E-4</v>
      </c>
      <c r="AC84" s="109">
        <f>ROUND((H84*(W84+Z84)*G84*J84/1000000),4)</f>
        <v>1E-4</v>
      </c>
      <c r="AD84" s="109">
        <f>ROUND((H84*(X84+AA84)*G84*K84/1000000),4)</f>
        <v>2.0000000000000001E-4</v>
      </c>
      <c r="AE84" s="73" t="s">
        <v>48</v>
      </c>
      <c r="AF84" s="74" t="s">
        <v>49</v>
      </c>
      <c r="AG84" s="75">
        <f>ROUND(((X84*F84/3600)*0.8),4)</f>
        <v>1.8E-3</v>
      </c>
      <c r="AH84" s="75">
        <f>ROUND(((AB84+AC84+AD84)*0.8),4)</f>
        <v>5.9999999999999995E-4</v>
      </c>
    </row>
    <row r="85" spans="1:34" ht="12.95" customHeight="1" x14ac:dyDescent="0.25">
      <c r="A85" s="578"/>
      <c r="B85" s="76" t="s">
        <v>212</v>
      </c>
      <c r="C85" s="1129"/>
      <c r="D85" s="67"/>
      <c r="E85" s="67"/>
      <c r="F85" s="67"/>
      <c r="G85" s="67"/>
      <c r="H85" s="67"/>
      <c r="I85" s="67"/>
      <c r="J85" s="67"/>
      <c r="K85" s="67"/>
      <c r="L85" s="68"/>
      <c r="M85" s="68"/>
      <c r="N85" s="67"/>
      <c r="O85" s="67"/>
      <c r="P85" s="67"/>
      <c r="Q85" s="69"/>
      <c r="R85" s="69"/>
      <c r="S85" s="70"/>
      <c r="T85" s="69"/>
      <c r="U85" s="69"/>
      <c r="V85" s="110"/>
      <c r="W85" s="111"/>
      <c r="X85" s="111"/>
      <c r="Y85" s="111"/>
      <c r="Z85" s="111"/>
      <c r="AA85" s="111"/>
      <c r="AB85" s="111"/>
      <c r="AC85" s="111"/>
      <c r="AD85" s="111"/>
      <c r="AE85" s="73" t="s">
        <v>51</v>
      </c>
      <c r="AF85" s="74" t="s">
        <v>52</v>
      </c>
      <c r="AG85" s="75">
        <f>ROUND(((X84*F84/3600)*0.13),4)</f>
        <v>2.9999999999999997E-4</v>
      </c>
      <c r="AH85" s="75">
        <f>ROUND(((AB84+AC84+AD84)*0.13),4)</f>
        <v>1E-4</v>
      </c>
    </row>
    <row r="86" spans="1:34" ht="12.95" customHeight="1" x14ac:dyDescent="0.25">
      <c r="A86" s="578"/>
      <c r="B86" s="76" t="s">
        <v>324</v>
      </c>
      <c r="C86" s="76"/>
      <c r="D86" s="67"/>
      <c r="E86" s="67"/>
      <c r="F86" s="67"/>
      <c r="G86" s="67"/>
      <c r="H86" s="67"/>
      <c r="I86" s="67"/>
      <c r="J86" s="67"/>
      <c r="K86" s="67"/>
      <c r="L86" s="68"/>
      <c r="M86" s="68"/>
      <c r="N86" s="67"/>
      <c r="O86" s="67"/>
      <c r="P86" s="67"/>
      <c r="Q86" s="75">
        <v>5.3999999999999999E-2</v>
      </c>
      <c r="R86" s="78">
        <v>5.3999999999999999E-2</v>
      </c>
      <c r="S86" s="79">
        <v>5.8999999999999997E-2</v>
      </c>
      <c r="T86" s="78">
        <v>0.33</v>
      </c>
      <c r="U86" s="78">
        <v>0.41</v>
      </c>
      <c r="V86" s="108">
        <f>ROUND((R86*N84+T86*L84+Q86*D84),4)</f>
        <v>0.27329999999999999</v>
      </c>
      <c r="W86" s="109">
        <f>ROUND((S86*0.9*O84+U86*0.9*L84+Q86*D84),4)</f>
        <v>0.37630000000000002</v>
      </c>
      <c r="X86" s="109">
        <f>ROUND((S86*P84+U86*L84+Q86*D84),4)</f>
        <v>1.2381</v>
      </c>
      <c r="Y86" s="109">
        <f>ROUND((T86*M84+Q86*E84),4)</f>
        <v>5.7299999999999997E-2</v>
      </c>
      <c r="Z86" s="109">
        <f>ROUND((U86*0.9*M84+Q86*E84),4)</f>
        <v>5.7700000000000001E-2</v>
      </c>
      <c r="AA86" s="109">
        <f>ROUND((U86*M84+Q86*E84),4)</f>
        <v>5.8099999999999999E-2</v>
      </c>
      <c r="AB86" s="109">
        <f>ROUND((H84*(V86+Y86)*G84*I84/1000000),5)</f>
        <v>6.0000000000000002E-5</v>
      </c>
      <c r="AC86" s="109">
        <f>ROUND((H84*(W86+Z86)*G84*J84/1000000),5)</f>
        <v>2.0000000000000002E-5</v>
      </c>
      <c r="AD86" s="109">
        <f>ROUND((H84*(X86+AA86)*G84*K84/1000000),5)</f>
        <v>3.0000000000000001E-5</v>
      </c>
      <c r="AE86" s="73" t="s">
        <v>56</v>
      </c>
      <c r="AF86" s="74" t="s">
        <v>57</v>
      </c>
      <c r="AG86" s="75">
        <f>ROUND(((X86*F84/3600)),4)</f>
        <v>2.9999999999999997E-4</v>
      </c>
      <c r="AH86" s="75">
        <f>AB86+AC86+AD86</f>
        <v>1.1E-4</v>
      </c>
    </row>
    <row r="87" spans="1:34" ht="12.95" customHeight="1" x14ac:dyDescent="0.25">
      <c r="A87" s="578"/>
      <c r="B87" s="77"/>
      <c r="C87" s="67"/>
      <c r="D87" s="67"/>
      <c r="E87" s="67"/>
      <c r="F87" s="67"/>
      <c r="G87" s="67"/>
      <c r="H87" s="67"/>
      <c r="I87" s="67"/>
      <c r="J87" s="67"/>
      <c r="K87" s="67"/>
      <c r="L87" s="68"/>
      <c r="M87" s="68"/>
      <c r="N87" s="67"/>
      <c r="O87" s="67"/>
      <c r="P87" s="67"/>
      <c r="Q87" s="75">
        <v>0.2</v>
      </c>
      <c r="R87" s="78">
        <v>0.2</v>
      </c>
      <c r="S87" s="75">
        <v>0.3</v>
      </c>
      <c r="T87" s="78">
        <v>0.6</v>
      </c>
      <c r="U87" s="78">
        <v>0.7</v>
      </c>
      <c r="V87" s="108">
        <f>ROUND((R87*N84+T87*L84+Q87*D84),4)</f>
        <v>1.006</v>
      </c>
      <c r="W87" s="109">
        <f>ROUND((S87*0.9*O84+U87*0.9*L84+Q87*D84),4)</f>
        <v>1.8263</v>
      </c>
      <c r="X87" s="109">
        <f>ROUND((S87*P84+U87*L84+Q87*D84),4)</f>
        <v>6.2069999999999999</v>
      </c>
      <c r="Y87" s="109">
        <f>ROUND((T87*M84+Q87*E84),4)</f>
        <v>0.20599999999999999</v>
      </c>
      <c r="Z87" s="109">
        <f>ROUND((U87*0.9*M84+Q87*E84),4)</f>
        <v>0.20630000000000001</v>
      </c>
      <c r="AA87" s="109">
        <f>ROUND((U87*M84+Q87*E84),4)</f>
        <v>0.20699999999999999</v>
      </c>
      <c r="AB87" s="109">
        <f>ROUND((H84*(V87+Y87)*G84*I84/1000000),4)</f>
        <v>2.0000000000000001E-4</v>
      </c>
      <c r="AC87" s="109">
        <f>ROUND((H84*(W87+Z87)*G84*J84/1000000),4)</f>
        <v>1E-4</v>
      </c>
      <c r="AD87" s="109">
        <f>ROUND((H84*(X87+AA87)*G84*K84/1000000),4)</f>
        <v>1E-4</v>
      </c>
      <c r="AE87" s="73" t="s">
        <v>177</v>
      </c>
      <c r="AF87" s="74" t="s">
        <v>178</v>
      </c>
      <c r="AG87" s="75">
        <f>ROUND(((X87*F84/3600)),4)</f>
        <v>1.6999999999999999E-3</v>
      </c>
      <c r="AH87" s="75">
        <f>AB87+AC87+AD87</f>
        <v>4.0000000000000002E-4</v>
      </c>
    </row>
    <row r="88" spans="1:34" ht="12.95" customHeight="1" x14ac:dyDescent="0.25">
      <c r="A88" s="578"/>
      <c r="B88" s="76"/>
      <c r="C88" s="67"/>
      <c r="D88" s="67"/>
      <c r="E88" s="67"/>
      <c r="F88" s="67"/>
      <c r="G88" s="67"/>
      <c r="H88" s="67"/>
      <c r="I88" s="67"/>
      <c r="J88" s="67"/>
      <c r="K88" s="67"/>
      <c r="L88" s="68"/>
      <c r="M88" s="68"/>
      <c r="N88" s="67"/>
      <c r="O88" s="67"/>
      <c r="P88" s="67"/>
      <c r="Q88" s="75">
        <v>0.8</v>
      </c>
      <c r="R88" s="78">
        <v>1.5</v>
      </c>
      <c r="S88" s="75">
        <v>1.9</v>
      </c>
      <c r="T88" s="78">
        <v>2.2999999999999998</v>
      </c>
      <c r="U88" s="78">
        <v>2.8</v>
      </c>
      <c r="V88" s="167">
        <f>ROUND((R88*N84+T88*L84+Q88*D84),4)</f>
        <v>6.8230000000000004</v>
      </c>
      <c r="W88" s="168">
        <f>ROUND((S88*0.9*O84+U88*0.9*L84+Q88*D84),4)</f>
        <v>11.0852</v>
      </c>
      <c r="X88" s="168">
        <f>ROUND((S88*P84+U88*L84+Q88*D84),4)</f>
        <v>38.828000000000003</v>
      </c>
      <c r="Y88" s="168">
        <f>ROUND((T88*M84+Q88*E84),4)</f>
        <v>0.82299999999999995</v>
      </c>
      <c r="Z88" s="168">
        <f>ROUND((U88*0.9*M84+Q88*E84),4)</f>
        <v>0.82520000000000004</v>
      </c>
      <c r="AA88" s="168">
        <f>ROUND((U88*M84+Q88*E84),4)</f>
        <v>0.82799999999999996</v>
      </c>
      <c r="AB88" s="168">
        <f>ROUND((H84*(V88+Y88)*G84*I84/1000000),4)</f>
        <v>1.4E-3</v>
      </c>
      <c r="AC88" s="168">
        <f>ROUND((H84*(W88+Z88)*G84*J84/1000000),4)</f>
        <v>5.9999999999999995E-4</v>
      </c>
      <c r="AD88" s="168">
        <f>ROUND((H84*(X88+AA88)*G84*K84/1000000),4)</f>
        <v>8.0000000000000004E-4</v>
      </c>
      <c r="AE88" s="73" t="s">
        <v>65</v>
      </c>
      <c r="AF88" s="74" t="s">
        <v>66</v>
      </c>
      <c r="AG88" s="75">
        <f>ROUND(((X88*F84/3600)),4)</f>
        <v>1.0800000000000001E-2</v>
      </c>
      <c r="AH88" s="75">
        <f>AB88+AC88+AD88</f>
        <v>2.8E-3</v>
      </c>
    </row>
    <row r="89" spans="1:34" ht="12.95" customHeight="1" x14ac:dyDescent="0.25">
      <c r="A89" s="578"/>
      <c r="B89" s="126"/>
      <c r="C89" s="69"/>
      <c r="D89" s="69"/>
      <c r="E89" s="69"/>
      <c r="F89" s="69"/>
      <c r="G89" s="69"/>
      <c r="H89" s="69"/>
      <c r="I89" s="69"/>
      <c r="J89" s="69"/>
      <c r="K89" s="69"/>
      <c r="L89" s="70"/>
      <c r="M89" s="70"/>
      <c r="N89" s="69"/>
      <c r="O89" s="69"/>
      <c r="P89" s="69"/>
      <c r="Q89" s="75">
        <v>1.4999999999999999E-2</v>
      </c>
      <c r="R89" s="78">
        <v>0.01</v>
      </c>
      <c r="S89" s="75">
        <v>2.5999999999999999E-2</v>
      </c>
      <c r="T89" s="78">
        <v>0.15</v>
      </c>
      <c r="U89" s="78">
        <v>0.2</v>
      </c>
      <c r="V89" s="167">
        <f>ROUND((R89*N84+T89*L84+Q89*D84),4)</f>
        <v>5.6500000000000002E-2</v>
      </c>
      <c r="W89" s="168">
        <f>ROUND((S89*0.9*O84+U89*0.9*L84+Q89*D84),4)</f>
        <v>0.15720000000000001</v>
      </c>
      <c r="X89" s="168">
        <f>ROUND((S89*P84+U89*L84+Q89*D84),4)</f>
        <v>0.53700000000000003</v>
      </c>
      <c r="Y89" s="168">
        <f>ROUND((T89*M84+Q89*E84),4)</f>
        <v>1.6500000000000001E-2</v>
      </c>
      <c r="Z89" s="168">
        <f>ROUND((U89*0.9*M84+Q89*E84),4)</f>
        <v>1.6799999999999999E-2</v>
      </c>
      <c r="AA89" s="168">
        <f>ROUND((U89*M84+Q89*E84),4)</f>
        <v>1.7000000000000001E-2</v>
      </c>
      <c r="AB89" s="168">
        <f>ROUND((H84*(V89+Y89)*G84*I84/1000000),5)</f>
        <v>1.0000000000000001E-5</v>
      </c>
      <c r="AC89" s="168">
        <f>ROUND((H84*(W89+Z89)*G84*J84/1000000),5)</f>
        <v>1.0000000000000001E-5</v>
      </c>
      <c r="AD89" s="168">
        <f>ROUND((H84*(X89+AA89)*G84*K84/1000000),5)</f>
        <v>1.0000000000000001E-5</v>
      </c>
      <c r="AE89" s="73" t="s">
        <v>213</v>
      </c>
      <c r="AF89" s="74" t="s">
        <v>62</v>
      </c>
      <c r="AG89" s="75">
        <f>ROUND(((X89*F84/3600)),4)</f>
        <v>1E-4</v>
      </c>
      <c r="AH89" s="75">
        <f>AB89+AC89+AD89</f>
        <v>3.0000000000000004E-5</v>
      </c>
    </row>
    <row r="90" spans="1:34" ht="12.95" customHeight="1" x14ac:dyDescent="0.25">
      <c r="A90" s="579"/>
      <c r="B90" s="71" t="s">
        <v>211</v>
      </c>
      <c r="C90" s="1128" t="s">
        <v>326</v>
      </c>
      <c r="D90" s="65">
        <v>1</v>
      </c>
      <c r="E90" s="65">
        <v>1</v>
      </c>
      <c r="F90" s="65">
        <v>1</v>
      </c>
      <c r="G90" s="65">
        <v>1</v>
      </c>
      <c r="H90" s="65">
        <f>ROUND((F90/G90),2)</f>
        <v>1</v>
      </c>
      <c r="I90" s="65">
        <v>180</v>
      </c>
      <c r="J90" s="65">
        <v>47</v>
      </c>
      <c r="K90" s="66">
        <v>20</v>
      </c>
      <c r="L90" s="66">
        <v>0.01</v>
      </c>
      <c r="M90" s="66">
        <v>0.01</v>
      </c>
      <c r="N90" s="65">
        <v>4</v>
      </c>
      <c r="O90" s="65">
        <v>6</v>
      </c>
      <c r="P90" s="65">
        <v>20</v>
      </c>
      <c r="Q90" s="65">
        <v>0.5</v>
      </c>
      <c r="R90" s="72">
        <v>0.5</v>
      </c>
      <c r="S90" s="65">
        <v>0.5</v>
      </c>
      <c r="T90" s="72">
        <v>2.6</v>
      </c>
      <c r="U90" s="72">
        <v>2.6</v>
      </c>
      <c r="V90" s="108">
        <f>ROUND((R90*N90+T90*L90+Q90*D90),4)</f>
        <v>2.5259999999999998</v>
      </c>
      <c r="W90" s="109">
        <f>ROUND((S90*O90+U90*L90+Q90*D90),4)</f>
        <v>3.5259999999999998</v>
      </c>
      <c r="X90" s="109">
        <f>ROUND((S90*P90+U90*L90+Q90*D90),4)</f>
        <v>10.526</v>
      </c>
      <c r="Y90" s="109">
        <f>ROUND((T90*M90+Q90*E90),4)</f>
        <v>0.52600000000000002</v>
      </c>
      <c r="Z90" s="109">
        <f>ROUND((U90*M90+Q90*E90),4)</f>
        <v>0.52600000000000002</v>
      </c>
      <c r="AA90" s="109">
        <f>ROUND((U90*M90+Q90*E90),4)</f>
        <v>0.52600000000000002</v>
      </c>
      <c r="AB90" s="109">
        <f>ROUND((H90*(V90+Y90)*G90*I90/1000000),4)</f>
        <v>5.0000000000000001E-4</v>
      </c>
      <c r="AC90" s="109">
        <f>ROUND((H90*(W90+Z90)*G90*J90/1000000),4)</f>
        <v>2.0000000000000001E-4</v>
      </c>
      <c r="AD90" s="109">
        <f>ROUND((H90*(X90+AA90)*G90*K90/1000000),4)</f>
        <v>2.0000000000000001E-4</v>
      </c>
      <c r="AE90" s="73" t="s">
        <v>48</v>
      </c>
      <c r="AF90" s="74" t="s">
        <v>49</v>
      </c>
      <c r="AG90" s="75">
        <f>ROUND(((X90*F90/3600)*0.8),4)</f>
        <v>2.3E-3</v>
      </c>
      <c r="AH90" s="75">
        <f>ROUND(((AB90+AC90+AD90)*0.8),4)</f>
        <v>6.9999999999999999E-4</v>
      </c>
    </row>
    <row r="91" spans="1:34" ht="12.95" customHeight="1" x14ac:dyDescent="0.25">
      <c r="A91" s="579"/>
      <c r="B91" s="76" t="s">
        <v>212</v>
      </c>
      <c r="C91" s="1129"/>
      <c r="D91" s="67"/>
      <c r="E91" s="67"/>
      <c r="F91" s="67"/>
      <c r="G91" s="67"/>
      <c r="H91" s="67"/>
      <c r="I91" s="67"/>
      <c r="J91" s="67"/>
      <c r="K91" s="67"/>
      <c r="L91" s="68"/>
      <c r="M91" s="68"/>
      <c r="N91" s="67"/>
      <c r="O91" s="67"/>
      <c r="P91" s="67"/>
      <c r="Q91" s="69"/>
      <c r="R91" s="69"/>
      <c r="S91" s="70"/>
      <c r="T91" s="69"/>
      <c r="U91" s="69"/>
      <c r="V91" s="110"/>
      <c r="W91" s="111"/>
      <c r="X91" s="111"/>
      <c r="Y91" s="111"/>
      <c r="Z91" s="111"/>
      <c r="AA91" s="111"/>
      <c r="AB91" s="111"/>
      <c r="AC91" s="111"/>
      <c r="AD91" s="111"/>
      <c r="AE91" s="73" t="s">
        <v>51</v>
      </c>
      <c r="AF91" s="74" t="s">
        <v>52</v>
      </c>
      <c r="AG91" s="75">
        <f>ROUND(((X90*F90/3600)*0.13),4)</f>
        <v>4.0000000000000002E-4</v>
      </c>
      <c r="AH91" s="75">
        <f>ROUND(((AB90+AC90+AD90)*0.13),4)</f>
        <v>1E-4</v>
      </c>
    </row>
    <row r="92" spans="1:34" ht="12.95" customHeight="1" x14ac:dyDescent="0.25">
      <c r="A92" s="579"/>
      <c r="B92" s="76" t="s">
        <v>324</v>
      </c>
      <c r="C92" s="76"/>
      <c r="D92" s="67"/>
      <c r="E92" s="67"/>
      <c r="F92" s="67"/>
      <c r="G92" s="67"/>
      <c r="H92" s="67"/>
      <c r="I92" s="67"/>
      <c r="J92" s="67"/>
      <c r="K92" s="67"/>
      <c r="L92" s="68"/>
      <c r="M92" s="68"/>
      <c r="N92" s="67"/>
      <c r="O92" s="67"/>
      <c r="P92" s="67"/>
      <c r="Q92" s="75">
        <v>7.1999999999999995E-2</v>
      </c>
      <c r="R92" s="78">
        <v>7.1999999999999995E-2</v>
      </c>
      <c r="S92" s="79">
        <v>7.6999999999999999E-2</v>
      </c>
      <c r="T92" s="78">
        <v>0.39</v>
      </c>
      <c r="U92" s="78">
        <v>0.49</v>
      </c>
      <c r="V92" s="108">
        <f>ROUND((R92*N90+T92*L90+Q92*D90),4)</f>
        <v>0.3639</v>
      </c>
      <c r="W92" s="109">
        <f>ROUND((S92*0.9*O90+U92*0.9*L90+Q92*D90),4)</f>
        <v>0.49220000000000003</v>
      </c>
      <c r="X92" s="109">
        <f>ROUND((S92*P90+U92*L90+Q92*D90),4)</f>
        <v>1.6169</v>
      </c>
      <c r="Y92" s="109">
        <f>ROUND((T92*M90+Q92*E90),4)</f>
        <v>7.5899999999999995E-2</v>
      </c>
      <c r="Z92" s="109">
        <f>ROUND((U92*0.9*M90+Q92*E90),4)</f>
        <v>7.6399999999999996E-2</v>
      </c>
      <c r="AA92" s="109">
        <f>ROUND((U92*M90+Q92*E90),4)</f>
        <v>7.6899999999999996E-2</v>
      </c>
      <c r="AB92" s="109">
        <f>ROUND((H90*(V92+Y92)*G90*I90/1000000),5)</f>
        <v>8.0000000000000007E-5</v>
      </c>
      <c r="AC92" s="109">
        <f>ROUND((H90*(W92+Z92)*G90*J90/1000000),5)</f>
        <v>3.0000000000000001E-5</v>
      </c>
      <c r="AD92" s="109">
        <f>ROUND((H90*(X92+AA92)*G90*K90/1000000),5)</f>
        <v>3.0000000000000001E-5</v>
      </c>
      <c r="AE92" s="73" t="s">
        <v>56</v>
      </c>
      <c r="AF92" s="74" t="s">
        <v>57</v>
      </c>
      <c r="AG92" s="75">
        <f>ROUND(((X92*F90/3600)),4)</f>
        <v>4.0000000000000002E-4</v>
      </c>
      <c r="AH92" s="75">
        <f>AB92+AC92+AD92</f>
        <v>1.4000000000000001E-4</v>
      </c>
    </row>
    <row r="93" spans="1:34" ht="12.95" customHeight="1" x14ac:dyDescent="0.25">
      <c r="A93" s="579"/>
      <c r="B93" s="77"/>
      <c r="C93" s="67"/>
      <c r="D93" s="67"/>
      <c r="E93" s="67"/>
      <c r="F93" s="67"/>
      <c r="G93" s="67"/>
      <c r="H93" s="67"/>
      <c r="I93" s="67"/>
      <c r="J93" s="67"/>
      <c r="K93" s="67"/>
      <c r="L93" s="68"/>
      <c r="M93" s="68"/>
      <c r="N93" s="67"/>
      <c r="O93" s="67"/>
      <c r="P93" s="67"/>
      <c r="Q93" s="75">
        <v>0.25</v>
      </c>
      <c r="R93" s="78">
        <v>0.3</v>
      </c>
      <c r="S93" s="75">
        <v>0.4</v>
      </c>
      <c r="T93" s="78">
        <v>0.7</v>
      </c>
      <c r="U93" s="78">
        <v>0.8</v>
      </c>
      <c r="V93" s="108">
        <f>ROUND((R93*N90+T93*L90+Q93*D90),4)</f>
        <v>1.4570000000000001</v>
      </c>
      <c r="W93" s="109">
        <f>ROUND((S93*0.9*O90+U93*0.9*L90+Q93*D90),4)</f>
        <v>2.4171999999999998</v>
      </c>
      <c r="X93" s="109">
        <f>ROUND((S93*P90+U93*L90+Q93*D90),4)</f>
        <v>8.2579999999999991</v>
      </c>
      <c r="Y93" s="109">
        <f>ROUND((T93*M90+Q93*E90),4)</f>
        <v>0.25700000000000001</v>
      </c>
      <c r="Z93" s="109">
        <f>ROUND((U93*0.9*M90+Q93*E90),4)</f>
        <v>0.25719999999999998</v>
      </c>
      <c r="AA93" s="109">
        <f>ROUND((U93*M90+Q93*E90),4)</f>
        <v>0.25800000000000001</v>
      </c>
      <c r="AB93" s="109">
        <f>ROUND((H90*(V93+Y93)*G90*I90/1000000),4)</f>
        <v>2.9999999999999997E-4</v>
      </c>
      <c r="AC93" s="109">
        <f>ROUND((H90*(W93+Z93)*G90*J90/1000000),4)</f>
        <v>1E-4</v>
      </c>
      <c r="AD93" s="109">
        <f>ROUND((H90*(X93+AA93)*G90*K90/1000000),4)</f>
        <v>2.0000000000000001E-4</v>
      </c>
      <c r="AE93" s="73" t="s">
        <v>177</v>
      </c>
      <c r="AF93" s="74" t="s">
        <v>178</v>
      </c>
      <c r="AG93" s="75">
        <f>ROUND(((X93*F90/3600)),4)</f>
        <v>2.3E-3</v>
      </c>
      <c r="AH93" s="75">
        <f>AB93+AC93+AD93</f>
        <v>5.9999999999999995E-4</v>
      </c>
    </row>
    <row r="94" spans="1:34" ht="12.95" customHeight="1" x14ac:dyDescent="0.25">
      <c r="A94" s="579"/>
      <c r="B94" s="76"/>
      <c r="C94" s="67"/>
      <c r="D94" s="67"/>
      <c r="E94" s="67"/>
      <c r="F94" s="67"/>
      <c r="G94" s="67"/>
      <c r="H94" s="67"/>
      <c r="I94" s="67"/>
      <c r="J94" s="67"/>
      <c r="K94" s="67"/>
      <c r="L94" s="68"/>
      <c r="M94" s="68"/>
      <c r="N94" s="67"/>
      <c r="O94" s="67"/>
      <c r="P94" s="67"/>
      <c r="Q94" s="75">
        <v>1.5</v>
      </c>
      <c r="R94" s="78">
        <v>1.9</v>
      </c>
      <c r="S94" s="75">
        <v>2.5</v>
      </c>
      <c r="T94" s="78">
        <v>3.5</v>
      </c>
      <c r="U94" s="78">
        <v>4.3</v>
      </c>
      <c r="V94" s="167">
        <f>ROUND((R94*N90+T94*L90+Q94*D90),4)</f>
        <v>9.1349999999999998</v>
      </c>
      <c r="W94" s="168">
        <f>ROUND((S94*0.9*O90+U94*0.9*L90+Q94*D90),4)</f>
        <v>15.0387</v>
      </c>
      <c r="X94" s="168">
        <f>ROUND((S94*P90+U94*L90+Q94*D90),4)</f>
        <v>51.542999999999999</v>
      </c>
      <c r="Y94" s="168">
        <f>ROUND((T94*M90+Q94*E90),4)</f>
        <v>1.5349999999999999</v>
      </c>
      <c r="Z94" s="168">
        <f>ROUND((U94*0.9*M90+Q94*E90),4)</f>
        <v>1.5387</v>
      </c>
      <c r="AA94" s="168">
        <f>ROUND((U94*M90+Q94*E90),4)</f>
        <v>1.5429999999999999</v>
      </c>
      <c r="AB94" s="168">
        <f>ROUND((H90*(V94+Y94)*G90*I90/1000000),4)</f>
        <v>1.9E-3</v>
      </c>
      <c r="AC94" s="168">
        <f>ROUND((H90*(W94+Z94)*G90*J90/1000000),4)</f>
        <v>8.0000000000000004E-4</v>
      </c>
      <c r="AD94" s="168">
        <f>ROUND((H90*(X94+AA94)*G90*K90/1000000),4)</f>
        <v>1.1000000000000001E-3</v>
      </c>
      <c r="AE94" s="73" t="s">
        <v>65</v>
      </c>
      <c r="AF94" s="74" t="s">
        <v>66</v>
      </c>
      <c r="AG94" s="75">
        <f>ROUND(((X94*F90/3600)),4)</f>
        <v>1.43E-2</v>
      </c>
      <c r="AH94" s="75">
        <f>AB94+AC94+AD94</f>
        <v>3.8000000000000004E-3</v>
      </c>
    </row>
    <row r="95" spans="1:34" ht="12.95" customHeight="1" x14ac:dyDescent="0.25">
      <c r="A95" s="580"/>
      <c r="B95" s="126"/>
      <c r="C95" s="69"/>
      <c r="D95" s="69"/>
      <c r="E95" s="69"/>
      <c r="F95" s="69"/>
      <c r="G95" s="69"/>
      <c r="H95" s="69"/>
      <c r="I95" s="69"/>
      <c r="J95" s="69"/>
      <c r="K95" s="69"/>
      <c r="L95" s="70"/>
      <c r="M95" s="70"/>
      <c r="N95" s="69"/>
      <c r="O95" s="69"/>
      <c r="P95" s="69"/>
      <c r="Q95" s="75">
        <v>0.02</v>
      </c>
      <c r="R95" s="78">
        <v>0.01</v>
      </c>
      <c r="S95" s="75">
        <v>0.02</v>
      </c>
      <c r="T95" s="78">
        <v>0.2</v>
      </c>
      <c r="U95" s="78">
        <v>0.3</v>
      </c>
      <c r="V95" s="167">
        <f>ROUND((R95*N90+T95*L90+Q95*D90),4)</f>
        <v>6.2E-2</v>
      </c>
      <c r="W95" s="168">
        <f>ROUND((S95*0.9*O90+U95*0.9*L90+Q95*D90),4)</f>
        <v>0.13070000000000001</v>
      </c>
      <c r="X95" s="168">
        <f>ROUND((S95*P90+U95*L90+Q95*D90),4)</f>
        <v>0.42299999999999999</v>
      </c>
      <c r="Y95" s="168">
        <f>ROUND((T95*M90+Q95*E90),4)</f>
        <v>2.1999999999999999E-2</v>
      </c>
      <c r="Z95" s="168">
        <f>ROUND((U95*0.9*M90+Q95*E90),4)</f>
        <v>2.2700000000000001E-2</v>
      </c>
      <c r="AA95" s="168">
        <f>ROUND((U95*M90+Q95*E90),4)</f>
        <v>2.3E-2</v>
      </c>
      <c r="AB95" s="168">
        <f>ROUND((H90*(V95+Y95)*G90*I90/1000000),5)</f>
        <v>2.0000000000000002E-5</v>
      </c>
      <c r="AC95" s="168">
        <f>ROUND((H90*(W95+Z95)*G90*J90/1000000),5)</f>
        <v>1.0000000000000001E-5</v>
      </c>
      <c r="AD95" s="168">
        <f>ROUND((H90*(X95+AA95)*G90*K90/1000000),5)</f>
        <v>1.0000000000000001E-5</v>
      </c>
      <c r="AE95" s="73" t="s">
        <v>213</v>
      </c>
      <c r="AF95" s="74" t="s">
        <v>62</v>
      </c>
      <c r="AG95" s="75">
        <f>ROUND(((X95*F90/3600)),4)</f>
        <v>1E-4</v>
      </c>
      <c r="AH95" s="75">
        <f>AB95+AC95+AD95</f>
        <v>4.0000000000000003E-5</v>
      </c>
    </row>
    <row r="96" spans="1:34" ht="12.95" customHeight="1" x14ac:dyDescent="0.25">
      <c r="A96" s="1534" t="s">
        <v>327</v>
      </c>
      <c r="B96" s="1535"/>
      <c r="C96" s="1535"/>
      <c r="D96" s="1535"/>
      <c r="E96" s="1535"/>
      <c r="F96" s="1535"/>
      <c r="G96" s="1535"/>
      <c r="H96" s="1535"/>
      <c r="I96" s="1535"/>
      <c r="J96" s="1535"/>
      <c r="K96" s="1535"/>
      <c r="L96" s="1535"/>
      <c r="M96" s="1535"/>
      <c r="N96" s="1535"/>
      <c r="O96" s="1535"/>
      <c r="P96" s="1535"/>
      <c r="Q96" s="1535"/>
      <c r="R96" s="1535"/>
      <c r="S96" s="1535"/>
      <c r="T96" s="1535"/>
      <c r="U96" s="1536"/>
      <c r="AE96" s="127" t="s">
        <v>48</v>
      </c>
      <c r="AF96" s="128" t="s">
        <v>49</v>
      </c>
      <c r="AG96" s="426">
        <f>MAX(AG72,AG78,AG84,AG90)</f>
        <v>4.7000000000000002E-3</v>
      </c>
      <c r="AH96" s="426">
        <f>AH72+AH78+AH84+AH90</f>
        <v>3.8E-3</v>
      </c>
    </row>
    <row r="97" spans="1:38" ht="12.95" customHeight="1" x14ac:dyDescent="0.25">
      <c r="A97" s="1537"/>
      <c r="B97" s="1538"/>
      <c r="C97" s="1538"/>
      <c r="D97" s="1538"/>
      <c r="E97" s="1538"/>
      <c r="F97" s="1538"/>
      <c r="G97" s="1538"/>
      <c r="H97" s="1538"/>
      <c r="I97" s="1538"/>
      <c r="J97" s="1538"/>
      <c r="K97" s="1538"/>
      <c r="L97" s="1538"/>
      <c r="M97" s="1538"/>
      <c r="N97" s="1538"/>
      <c r="O97" s="1538"/>
      <c r="P97" s="1538"/>
      <c r="Q97" s="1538"/>
      <c r="R97" s="1538"/>
      <c r="S97" s="1538"/>
      <c r="T97" s="1538"/>
      <c r="U97" s="1539"/>
      <c r="AE97" s="127" t="s">
        <v>51</v>
      </c>
      <c r="AF97" s="128" t="s">
        <v>52</v>
      </c>
      <c r="AG97" s="426">
        <f t="shared" ref="AG97:AG100" si="0">MAX(AG73,AG79,AG85,AG91)</f>
        <v>8.0000000000000004E-4</v>
      </c>
      <c r="AH97" s="426">
        <f t="shared" ref="AH97:AH101" si="1">AH73+AH79+AH85+AH91</f>
        <v>6.0000000000000006E-4</v>
      </c>
    </row>
    <row r="98" spans="1:38" ht="12.95" customHeight="1" x14ac:dyDescent="0.25">
      <c r="A98" s="1537"/>
      <c r="B98" s="1538"/>
      <c r="C98" s="1538"/>
      <c r="D98" s="1538"/>
      <c r="E98" s="1538"/>
      <c r="F98" s="1538"/>
      <c r="G98" s="1538"/>
      <c r="H98" s="1538"/>
      <c r="I98" s="1538"/>
      <c r="J98" s="1538"/>
      <c r="K98" s="1538"/>
      <c r="L98" s="1538"/>
      <c r="M98" s="1538"/>
      <c r="N98" s="1538"/>
      <c r="O98" s="1538"/>
      <c r="P98" s="1538"/>
      <c r="Q98" s="1538"/>
      <c r="R98" s="1538"/>
      <c r="S98" s="1538"/>
      <c r="T98" s="1538"/>
      <c r="U98" s="1539"/>
      <c r="AE98" s="127" t="s">
        <v>56</v>
      </c>
      <c r="AF98" s="128" t="s">
        <v>57</v>
      </c>
      <c r="AG98" s="426">
        <f t="shared" si="0"/>
        <v>6.9999999999999999E-4</v>
      </c>
      <c r="AH98" s="426">
        <f t="shared" si="1"/>
        <v>6.3000000000000003E-4</v>
      </c>
    </row>
    <row r="99" spans="1:38" ht="12.95" customHeight="1" x14ac:dyDescent="0.25">
      <c r="A99" s="1537"/>
      <c r="B99" s="1538"/>
      <c r="C99" s="1538"/>
      <c r="D99" s="1538"/>
      <c r="E99" s="1538"/>
      <c r="F99" s="1538"/>
      <c r="G99" s="1538"/>
      <c r="H99" s="1538"/>
      <c r="I99" s="1538"/>
      <c r="J99" s="1538"/>
      <c r="K99" s="1538"/>
      <c r="L99" s="1538"/>
      <c r="M99" s="1538"/>
      <c r="N99" s="1538"/>
      <c r="O99" s="1538"/>
      <c r="P99" s="1538"/>
      <c r="Q99" s="1538"/>
      <c r="R99" s="1538"/>
      <c r="S99" s="1538"/>
      <c r="T99" s="1538"/>
      <c r="U99" s="1539"/>
      <c r="AE99" s="127" t="s">
        <v>177</v>
      </c>
      <c r="AF99" s="128" t="s">
        <v>178</v>
      </c>
      <c r="AG99" s="426">
        <f t="shared" si="0"/>
        <v>4.0000000000000001E-3</v>
      </c>
      <c r="AH99" s="426">
        <f t="shared" si="1"/>
        <v>2.8E-3</v>
      </c>
    </row>
    <row r="100" spans="1:38" ht="12.95" customHeight="1" x14ac:dyDescent="0.25">
      <c r="A100" s="1537"/>
      <c r="B100" s="1538"/>
      <c r="C100" s="1538"/>
      <c r="D100" s="1538"/>
      <c r="E100" s="1538"/>
      <c r="F100" s="1538"/>
      <c r="G100" s="1538"/>
      <c r="H100" s="1538"/>
      <c r="I100" s="1538"/>
      <c r="J100" s="1538"/>
      <c r="K100" s="1538"/>
      <c r="L100" s="1538"/>
      <c r="M100" s="1538"/>
      <c r="N100" s="1538"/>
      <c r="O100" s="1538"/>
      <c r="P100" s="1538"/>
      <c r="Q100" s="1538"/>
      <c r="R100" s="1538"/>
      <c r="S100" s="1538"/>
      <c r="T100" s="1538"/>
      <c r="U100" s="1539"/>
      <c r="AE100" s="127" t="s">
        <v>65</v>
      </c>
      <c r="AF100" s="128" t="s">
        <v>66</v>
      </c>
      <c r="AG100" s="426">
        <f t="shared" si="0"/>
        <v>3.0300000000000001E-2</v>
      </c>
      <c r="AH100" s="426">
        <f t="shared" si="1"/>
        <v>1.9400000000000001E-2</v>
      </c>
    </row>
    <row r="101" spans="1:38" ht="12.95" customHeight="1" x14ac:dyDescent="0.25">
      <c r="A101" s="1540"/>
      <c r="B101" s="1541"/>
      <c r="C101" s="1541"/>
      <c r="D101" s="1541"/>
      <c r="E101" s="1541"/>
      <c r="F101" s="1541"/>
      <c r="G101" s="1541"/>
      <c r="H101" s="1541"/>
      <c r="I101" s="1541"/>
      <c r="J101" s="1541"/>
      <c r="K101" s="1541"/>
      <c r="L101" s="1541"/>
      <c r="M101" s="1541"/>
      <c r="N101" s="1541"/>
      <c r="O101" s="1541"/>
      <c r="P101" s="1541"/>
      <c r="Q101" s="1541"/>
      <c r="R101" s="1541"/>
      <c r="S101" s="1541"/>
      <c r="T101" s="1541"/>
      <c r="U101" s="1542"/>
      <c r="AE101" s="127" t="s">
        <v>213</v>
      </c>
      <c r="AF101" s="128" t="s">
        <v>62</v>
      </c>
      <c r="AG101" s="426">
        <f>MAX(AG77,AG83,AG89,AG95)</f>
        <v>5.0000000000000001E-4</v>
      </c>
      <c r="AH101" s="426">
        <f t="shared" si="1"/>
        <v>2.4000000000000001E-4</v>
      </c>
      <c r="AI101" s="61">
        <f>SUM(AG96:AG101)</f>
        <v>4.1000000000000002E-2</v>
      </c>
      <c r="AJ101" s="61">
        <f>SUM(AH96:AH101)</f>
        <v>2.7470000000000001E-2</v>
      </c>
      <c r="AL101" s="417">
        <f>AJ101/AI101*1000000/3600</f>
        <v>186.11111111111111</v>
      </c>
    </row>
    <row r="102" spans="1:38" ht="12.95" customHeight="1" x14ac:dyDescent="0.25">
      <c r="A102" s="1518" t="s">
        <v>545</v>
      </c>
      <c r="B102" s="1519"/>
      <c r="C102" s="1519"/>
      <c r="D102" s="1519"/>
      <c r="E102" s="1519"/>
      <c r="F102" s="1519"/>
      <c r="G102" s="1519"/>
      <c r="H102" s="1519"/>
      <c r="I102" s="1519"/>
      <c r="J102" s="1519"/>
      <c r="K102" s="1519"/>
      <c r="L102" s="1519"/>
      <c r="M102" s="1519"/>
      <c r="N102" s="1519"/>
      <c r="O102" s="1519"/>
      <c r="P102" s="1519"/>
      <c r="Q102" s="1519"/>
      <c r="R102" s="1519"/>
      <c r="S102" s="1519"/>
      <c r="T102" s="1520"/>
      <c r="U102" s="1520"/>
      <c r="V102" s="1519"/>
      <c r="W102" s="1519"/>
      <c r="X102" s="1519"/>
      <c r="Y102" s="1519"/>
      <c r="Z102" s="1519"/>
      <c r="AA102" s="1519"/>
      <c r="AB102" s="1519"/>
      <c r="AC102" s="1519"/>
      <c r="AD102" s="1519"/>
      <c r="AE102" s="1519"/>
      <c r="AF102" s="1519"/>
      <c r="AG102" s="1519"/>
      <c r="AH102" s="1521"/>
    </row>
    <row r="103" spans="1:38" ht="12.95" customHeight="1" x14ac:dyDescent="0.25">
      <c r="A103" s="506" t="s">
        <v>331</v>
      </c>
      <c r="B103" s="71" t="s">
        <v>211</v>
      </c>
      <c r="C103" s="1128" t="s">
        <v>323</v>
      </c>
      <c r="D103" s="65">
        <v>1</v>
      </c>
      <c r="E103" s="65">
        <v>1</v>
      </c>
      <c r="F103" s="65">
        <v>1</v>
      </c>
      <c r="G103" s="65">
        <v>1</v>
      </c>
      <c r="H103" s="65">
        <f>ROUND((F103/G103),2)</f>
        <v>1</v>
      </c>
      <c r="I103" s="65">
        <v>180</v>
      </c>
      <c r="J103" s="65">
        <v>47</v>
      </c>
      <c r="K103" s="66">
        <v>20</v>
      </c>
      <c r="L103" s="66">
        <v>0.01</v>
      </c>
      <c r="M103" s="66">
        <v>0.01</v>
      </c>
      <c r="N103" s="65">
        <v>4</v>
      </c>
      <c r="O103" s="65">
        <v>6</v>
      </c>
      <c r="P103" s="65">
        <v>20</v>
      </c>
      <c r="Q103" s="65">
        <v>0.6</v>
      </c>
      <c r="R103" s="72">
        <v>0.6</v>
      </c>
      <c r="S103" s="65">
        <v>0.8</v>
      </c>
      <c r="T103" s="72">
        <v>3.5</v>
      </c>
      <c r="U103" s="72">
        <v>3.5</v>
      </c>
      <c r="V103" s="108">
        <f>ROUND((R103*N103+T103*L103+Q103*D103),4)</f>
        <v>3.0350000000000001</v>
      </c>
      <c r="W103" s="109">
        <f>ROUND((S103*O103+U103*L103+Q103*D103),4)</f>
        <v>5.4349999999999996</v>
      </c>
      <c r="X103" s="109">
        <f>ROUND((S103*P103+U103*L103+Q103*D103),4)</f>
        <v>16.635000000000002</v>
      </c>
      <c r="Y103" s="109">
        <f>ROUND((T103*M103+Q103*E103),4)</f>
        <v>0.63500000000000001</v>
      </c>
      <c r="Z103" s="109">
        <f>ROUND((U103*M103+Q103*E103),4)</f>
        <v>0.63500000000000001</v>
      </c>
      <c r="AA103" s="109">
        <f>ROUND((U103*M103+Q103*E103),4)</f>
        <v>0.63500000000000001</v>
      </c>
      <c r="AB103" s="109">
        <f>ROUND((H103*(V103+Y103)*G103*I103/1000000),4)</f>
        <v>6.9999999999999999E-4</v>
      </c>
      <c r="AC103" s="109">
        <f>ROUND((H103*(W103+Z103)*G103*J103/1000000),4)</f>
        <v>2.9999999999999997E-4</v>
      </c>
      <c r="AD103" s="109">
        <f>ROUND((H103*(X103+AA103)*G103*K103/1000000),4)</f>
        <v>2.9999999999999997E-4</v>
      </c>
      <c r="AE103" s="73" t="s">
        <v>48</v>
      </c>
      <c r="AF103" s="74" t="s">
        <v>49</v>
      </c>
      <c r="AG103" s="75">
        <f>ROUND(((X103*F103/3600)*0.8),4)</f>
        <v>3.7000000000000002E-3</v>
      </c>
      <c r="AH103" s="75">
        <f>ROUND(((AB103+AC103+AD103)*0.8),4)</f>
        <v>1E-3</v>
      </c>
    </row>
    <row r="104" spans="1:38" ht="12.95" customHeight="1" x14ac:dyDescent="0.25">
      <c r="A104" s="570" t="s">
        <v>150</v>
      </c>
      <c r="B104" s="67" t="s">
        <v>212</v>
      </c>
      <c r="C104" s="1129"/>
      <c r="D104" s="67"/>
      <c r="E104" s="67"/>
      <c r="F104" s="67"/>
      <c r="G104" s="67"/>
      <c r="H104" s="67"/>
      <c r="I104" s="67"/>
      <c r="J104" s="67"/>
      <c r="K104" s="67"/>
      <c r="L104" s="68"/>
      <c r="M104" s="68"/>
      <c r="N104" s="67"/>
      <c r="O104" s="67"/>
      <c r="P104" s="67"/>
      <c r="Q104" s="69"/>
      <c r="R104" s="69"/>
      <c r="S104" s="70"/>
      <c r="T104" s="69"/>
      <c r="U104" s="69"/>
      <c r="V104" s="110"/>
      <c r="W104" s="111"/>
      <c r="X104" s="111"/>
      <c r="Y104" s="111"/>
      <c r="Z104" s="111"/>
      <c r="AA104" s="111"/>
      <c r="AB104" s="111"/>
      <c r="AC104" s="111"/>
      <c r="AD104" s="111"/>
      <c r="AE104" s="73" t="s">
        <v>51</v>
      </c>
      <c r="AF104" s="74" t="s">
        <v>52</v>
      </c>
      <c r="AG104" s="75">
        <f>ROUND(((X103*F103/3600)*0.13),4)</f>
        <v>5.9999999999999995E-4</v>
      </c>
      <c r="AH104" s="75">
        <f>ROUND(((AB103+AC103+AD103)*0.13),4)</f>
        <v>2.0000000000000001E-4</v>
      </c>
    </row>
    <row r="105" spans="1:38" ht="12.95" customHeight="1" x14ac:dyDescent="0.25">
      <c r="A105" s="571"/>
      <c r="B105" s="76" t="s">
        <v>322</v>
      </c>
      <c r="C105" s="76"/>
      <c r="D105" s="67"/>
      <c r="E105" s="67"/>
      <c r="F105" s="67"/>
      <c r="G105" s="67"/>
      <c r="H105" s="67"/>
      <c r="I105" s="67"/>
      <c r="J105" s="67"/>
      <c r="K105" s="67"/>
      <c r="L105" s="68"/>
      <c r="M105" s="68"/>
      <c r="N105" s="67"/>
      <c r="O105" s="67"/>
      <c r="P105" s="67"/>
      <c r="Q105" s="75">
        <v>0.09</v>
      </c>
      <c r="R105" s="78">
        <v>0.09</v>
      </c>
      <c r="S105" s="79">
        <v>0.108</v>
      </c>
      <c r="T105" s="78">
        <v>0.45</v>
      </c>
      <c r="U105" s="78">
        <v>0.56000000000000005</v>
      </c>
      <c r="V105" s="108">
        <f>ROUND((R105*N103+T105*L103+Q105*D103),4)</f>
        <v>0.45450000000000002</v>
      </c>
      <c r="W105" s="109">
        <f>ROUND((S105*0.9*O103+U105*0.9*L103+Q105*D103),4)</f>
        <v>0.67820000000000003</v>
      </c>
      <c r="X105" s="109">
        <f>ROUND((S105*P103+U105*L103+Q105*D103),4)</f>
        <v>2.2555999999999998</v>
      </c>
      <c r="Y105" s="109">
        <f>ROUND((T105*M103+Q105*E103),4)</f>
        <v>9.4500000000000001E-2</v>
      </c>
      <c r="Z105" s="109">
        <f>ROUND((U105*0.9*M103+Q105*E103),4)</f>
        <v>9.5000000000000001E-2</v>
      </c>
      <c r="AA105" s="109">
        <f>ROUND((U105*M103+Q105*E103),4)</f>
        <v>9.5600000000000004E-2</v>
      </c>
      <c r="AB105" s="109">
        <f>ROUND((H103*(V105+Y105)*G103*I103/1000000),5)</f>
        <v>1E-4</v>
      </c>
      <c r="AC105" s="109">
        <f>ROUND((H103*(W105+Z105)*G103*J103/1000000),5)</f>
        <v>4.0000000000000003E-5</v>
      </c>
      <c r="AD105" s="109">
        <f>ROUND((H103*(X105+AA105)*G103*K103/1000000),5)</f>
        <v>5.0000000000000002E-5</v>
      </c>
      <c r="AE105" s="73" t="s">
        <v>56</v>
      </c>
      <c r="AF105" s="74" t="s">
        <v>57</v>
      </c>
      <c r="AG105" s="75">
        <f>ROUND(((X105*F103/3600)),4)</f>
        <v>5.9999999999999995E-4</v>
      </c>
      <c r="AH105" s="75">
        <f>AB105+AC105+AD105</f>
        <v>1.9000000000000001E-4</v>
      </c>
    </row>
    <row r="106" spans="1:38" ht="12.95" customHeight="1" x14ac:dyDescent="0.25">
      <c r="A106" s="571"/>
      <c r="B106" s="132" t="s">
        <v>332</v>
      </c>
      <c r="C106" s="67"/>
      <c r="D106" s="67"/>
      <c r="E106" s="67"/>
      <c r="F106" s="67"/>
      <c r="G106" s="67"/>
      <c r="H106" s="67"/>
      <c r="I106" s="67"/>
      <c r="J106" s="67"/>
      <c r="K106" s="67"/>
      <c r="L106" s="68"/>
      <c r="M106" s="68"/>
      <c r="N106" s="67"/>
      <c r="O106" s="67"/>
      <c r="P106" s="67"/>
      <c r="Q106" s="75">
        <v>0.35</v>
      </c>
      <c r="R106" s="78">
        <v>0.38</v>
      </c>
      <c r="S106" s="75">
        <v>0.8</v>
      </c>
      <c r="T106" s="78">
        <v>0.9</v>
      </c>
      <c r="U106" s="78">
        <v>1.1000000000000001</v>
      </c>
      <c r="V106" s="108">
        <f>ROUND((R106*N103+T106*L103+Q106*D103),4)</f>
        <v>1.879</v>
      </c>
      <c r="W106" s="109">
        <f>ROUND((S106*0.9*O103+U106*0.9*L103+Q106*D103),4)</f>
        <v>4.6798999999999999</v>
      </c>
      <c r="X106" s="109">
        <f>ROUND((S106*P103+U106*L103+Q106*D103),4)</f>
        <v>16.361000000000001</v>
      </c>
      <c r="Y106" s="109">
        <f>ROUND((T106*M103+Q106*E103),4)</f>
        <v>0.35899999999999999</v>
      </c>
      <c r="Z106" s="109">
        <f>ROUND((U106*0.9*M103+Q106*E103),4)</f>
        <v>0.3599</v>
      </c>
      <c r="AA106" s="109">
        <f>ROUND((U106*M103+Q106*E103),4)</f>
        <v>0.36099999999999999</v>
      </c>
      <c r="AB106" s="109">
        <f>ROUND((H103*(V106+Y106)*G103*I103/1000000),4)</f>
        <v>4.0000000000000002E-4</v>
      </c>
      <c r="AC106" s="109">
        <f>ROUND((H103*(W106+Z106)*G103*J103/1000000),4)</f>
        <v>2.0000000000000001E-4</v>
      </c>
      <c r="AD106" s="109">
        <f>ROUND((H103*(X106+AA106)*G103*K103/1000000),4)</f>
        <v>2.9999999999999997E-4</v>
      </c>
      <c r="AE106" s="73" t="s">
        <v>177</v>
      </c>
      <c r="AF106" s="74" t="s">
        <v>178</v>
      </c>
      <c r="AG106" s="75">
        <f>ROUND(((X106*F103/3600)),4)</f>
        <v>4.4999999999999997E-3</v>
      </c>
      <c r="AH106" s="75">
        <f>AB106+AC106+AD106</f>
        <v>8.9999999999999998E-4</v>
      </c>
    </row>
    <row r="107" spans="1:38" ht="12.95" customHeight="1" x14ac:dyDescent="0.25">
      <c r="A107" s="572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8"/>
      <c r="M107" s="68"/>
      <c r="N107" s="67"/>
      <c r="O107" s="67"/>
      <c r="P107" s="67"/>
      <c r="Q107" s="75">
        <v>2.8</v>
      </c>
      <c r="R107" s="78">
        <v>2.8</v>
      </c>
      <c r="S107" s="75">
        <v>4.4000000000000004</v>
      </c>
      <c r="T107" s="78">
        <v>5.0999999999999996</v>
      </c>
      <c r="U107" s="78">
        <v>6.2</v>
      </c>
      <c r="V107" s="167">
        <f>ROUND((R107*N103+T107*L103+Q107*D103),4)</f>
        <v>14.051</v>
      </c>
      <c r="W107" s="168">
        <f>ROUND((S107*0.9*O103+U107*0.9*L103+Q107*D103),4)</f>
        <v>26.6158</v>
      </c>
      <c r="X107" s="168">
        <f>ROUND((S107*P103+U107*L103+Q107*D103),4)</f>
        <v>90.861999999999995</v>
      </c>
      <c r="Y107" s="168">
        <f>ROUND((T107*M103+Q107*E103),4)</f>
        <v>2.851</v>
      </c>
      <c r="Z107" s="168">
        <f>ROUND((U107*0.9*M103+Q107*E103),4)</f>
        <v>2.8557999999999999</v>
      </c>
      <c r="AA107" s="168">
        <f>ROUND((U107*M103+Q107*E103),4)</f>
        <v>2.8620000000000001</v>
      </c>
      <c r="AB107" s="168">
        <f>ROUND((H103*(V107+Y107)*G103*I103/1000000),4)</f>
        <v>3.0000000000000001E-3</v>
      </c>
      <c r="AC107" s="168">
        <f>ROUND((H103*(W107+Z107)*G103*J103/1000000),4)</f>
        <v>1.4E-3</v>
      </c>
      <c r="AD107" s="168">
        <f>ROUND((H103*(X107+AA107)*G103*K103/1000000),4)</f>
        <v>1.9E-3</v>
      </c>
      <c r="AE107" s="73" t="s">
        <v>65</v>
      </c>
      <c r="AF107" s="74" t="s">
        <v>66</v>
      </c>
      <c r="AG107" s="75">
        <f>ROUND(((X107*F103/3600)),4)</f>
        <v>2.52E-2</v>
      </c>
      <c r="AH107" s="75">
        <f>AB107+AC107+AD107</f>
        <v>6.3E-3</v>
      </c>
    </row>
    <row r="108" spans="1:38" ht="12.95" customHeight="1" x14ac:dyDescent="0.25">
      <c r="A108" s="573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70"/>
      <c r="M108" s="70"/>
      <c r="N108" s="69"/>
      <c r="O108" s="69"/>
      <c r="P108" s="69"/>
      <c r="Q108" s="75">
        <v>0.03</v>
      </c>
      <c r="R108" s="78">
        <v>0.03</v>
      </c>
      <c r="S108" s="75">
        <v>0.12</v>
      </c>
      <c r="T108" s="78">
        <v>0.25</v>
      </c>
      <c r="U108" s="78">
        <v>0.35</v>
      </c>
      <c r="V108" s="167">
        <f>ROUND((R108*N103+T108*L103+Q108*D103),4)</f>
        <v>0.1525</v>
      </c>
      <c r="W108" s="168">
        <f>ROUND((S108*0.9*O103+U108*0.9*L103+Q108*D103),4)</f>
        <v>0.68120000000000003</v>
      </c>
      <c r="X108" s="168">
        <f>ROUND((S108*P103+U108*L103+Q108*D103),4)</f>
        <v>2.4335</v>
      </c>
      <c r="Y108" s="168">
        <f>ROUND((T108*M103+Q108*E103),4)</f>
        <v>3.2500000000000001E-2</v>
      </c>
      <c r="Z108" s="168">
        <f>ROUND((U108*0.9*M103+Q108*E103),4)</f>
        <v>3.32E-2</v>
      </c>
      <c r="AA108" s="168">
        <f>ROUND((U108*M103+Q108*E103),4)</f>
        <v>3.3500000000000002E-2</v>
      </c>
      <c r="AB108" s="168">
        <f>ROUND((H103*(V108+Y108)*G103*I103/1000000),5)</f>
        <v>3.0000000000000001E-5</v>
      </c>
      <c r="AC108" s="168">
        <f>ROUND((H103*(W108+Z108)*G103*J103/1000000),5)</f>
        <v>3.0000000000000001E-5</v>
      </c>
      <c r="AD108" s="168">
        <f>ROUND((H103*(X108+AA108)*G103*K103/1000000),5)</f>
        <v>5.0000000000000002E-5</v>
      </c>
      <c r="AE108" s="73" t="s">
        <v>213</v>
      </c>
      <c r="AF108" s="74" t="s">
        <v>62</v>
      </c>
      <c r="AG108" s="75">
        <f>ROUND(((X108*F103/3600)),4)</f>
        <v>6.9999999999999999E-4</v>
      </c>
      <c r="AH108" s="75">
        <f>AB108+AC108+AD108</f>
        <v>1.1E-4</v>
      </c>
      <c r="AI108" s="61">
        <f>SUM(AG103:AG108)</f>
        <v>3.5299999999999998E-2</v>
      </c>
      <c r="AJ108" s="61">
        <f>SUM(AH103:AH108)</f>
        <v>8.7000000000000011E-3</v>
      </c>
    </row>
    <row r="109" spans="1:38" ht="12.95" customHeight="1" x14ac:dyDescent="0.25">
      <c r="A109" s="1522" t="s">
        <v>547</v>
      </c>
      <c r="B109" s="1523"/>
      <c r="C109" s="1523"/>
      <c r="D109" s="1523"/>
      <c r="E109" s="1523"/>
      <c r="F109" s="1523"/>
      <c r="G109" s="1523"/>
      <c r="H109" s="1523"/>
      <c r="I109" s="1523"/>
      <c r="J109" s="1523"/>
      <c r="K109" s="1523"/>
      <c r="L109" s="1523"/>
      <c r="M109" s="1523"/>
      <c r="N109" s="1523"/>
      <c r="O109" s="1523"/>
      <c r="P109" s="1523"/>
      <c r="Q109" s="1523"/>
      <c r="R109" s="1523"/>
      <c r="S109" s="1523"/>
      <c r="T109" s="1524"/>
      <c r="U109" s="1524"/>
      <c r="V109" s="1523"/>
      <c r="W109" s="1523"/>
      <c r="X109" s="1523"/>
      <c r="Y109" s="1523"/>
      <c r="Z109" s="1523"/>
      <c r="AA109" s="1523"/>
      <c r="AB109" s="1523"/>
      <c r="AC109" s="1523"/>
      <c r="AD109" s="1523"/>
      <c r="AE109" s="1523"/>
      <c r="AF109" s="1523"/>
      <c r="AG109" s="1523"/>
      <c r="AH109" s="1525"/>
    </row>
    <row r="110" spans="1:38" ht="12.95" customHeight="1" x14ac:dyDescent="0.25">
      <c r="A110" s="506" t="s">
        <v>350</v>
      </c>
      <c r="B110" s="71" t="s">
        <v>211</v>
      </c>
      <c r="C110" s="1128" t="s">
        <v>323</v>
      </c>
      <c r="D110" s="65">
        <v>1</v>
      </c>
      <c r="E110" s="65">
        <v>1</v>
      </c>
      <c r="F110" s="65">
        <v>1</v>
      </c>
      <c r="G110" s="65">
        <v>1</v>
      </c>
      <c r="H110" s="65">
        <f>ROUND((F110/G110),2)</f>
        <v>1</v>
      </c>
      <c r="I110" s="65">
        <v>180</v>
      </c>
      <c r="J110" s="65">
        <v>47</v>
      </c>
      <c r="K110" s="66">
        <v>20</v>
      </c>
      <c r="L110" s="66">
        <v>0.01</v>
      </c>
      <c r="M110" s="66">
        <v>0.01</v>
      </c>
      <c r="N110" s="65">
        <v>4</v>
      </c>
      <c r="O110" s="65">
        <v>6</v>
      </c>
      <c r="P110" s="65">
        <v>20</v>
      </c>
      <c r="Q110" s="65">
        <v>0.6</v>
      </c>
      <c r="R110" s="72">
        <v>0.6</v>
      </c>
      <c r="S110" s="65">
        <v>0.8</v>
      </c>
      <c r="T110" s="72">
        <v>3.5</v>
      </c>
      <c r="U110" s="72">
        <v>3.5</v>
      </c>
      <c r="V110" s="108">
        <f>ROUND((R110*N110+T110*L110+Q110*D110),4)</f>
        <v>3.0350000000000001</v>
      </c>
      <c r="W110" s="109">
        <f>ROUND((S110*O110+U110*L110+Q110*D110),4)</f>
        <v>5.4349999999999996</v>
      </c>
      <c r="X110" s="109">
        <f>ROUND((S110*P110+U110*L110+Q110*D110),4)</f>
        <v>16.635000000000002</v>
      </c>
      <c r="Y110" s="109">
        <f>ROUND((T110*M110+Q110*E110),4)</f>
        <v>0.63500000000000001</v>
      </c>
      <c r="Z110" s="109">
        <f>ROUND((U110*M110+Q110*E110),4)</f>
        <v>0.63500000000000001</v>
      </c>
      <c r="AA110" s="109">
        <f>ROUND((U110*M110+Q110*E110),4)</f>
        <v>0.63500000000000001</v>
      </c>
      <c r="AB110" s="109">
        <f>ROUND((H110*(V110+Y110)*G110*I110/1000000),4)</f>
        <v>6.9999999999999999E-4</v>
      </c>
      <c r="AC110" s="109">
        <f>ROUND((H110*(W110+Z110)*G110*J110/1000000),4)</f>
        <v>2.9999999999999997E-4</v>
      </c>
      <c r="AD110" s="109">
        <f>ROUND((H110*(X110+AA110)*G110*K110/1000000),4)</f>
        <v>2.9999999999999997E-4</v>
      </c>
      <c r="AE110" s="73" t="s">
        <v>48</v>
      </c>
      <c r="AF110" s="74" t="s">
        <v>49</v>
      </c>
      <c r="AG110" s="75">
        <f>ROUND(((X110*F110/3600)*0.8),4)</f>
        <v>3.7000000000000002E-3</v>
      </c>
      <c r="AH110" s="75">
        <f>ROUND(((AB110+AC110+AD110)*0.8),4)</f>
        <v>1E-3</v>
      </c>
    </row>
    <row r="111" spans="1:38" ht="12.95" customHeight="1" x14ac:dyDescent="0.25">
      <c r="A111" s="570" t="s">
        <v>150</v>
      </c>
      <c r="B111" s="67" t="s">
        <v>212</v>
      </c>
      <c r="C111" s="1129"/>
      <c r="D111" s="67"/>
      <c r="E111" s="67"/>
      <c r="F111" s="67"/>
      <c r="G111" s="67"/>
      <c r="H111" s="67"/>
      <c r="I111" s="67"/>
      <c r="J111" s="67"/>
      <c r="K111" s="67"/>
      <c r="L111" s="68"/>
      <c r="M111" s="68"/>
      <c r="N111" s="67"/>
      <c r="O111" s="67"/>
      <c r="P111" s="67"/>
      <c r="Q111" s="69"/>
      <c r="R111" s="69"/>
      <c r="S111" s="70"/>
      <c r="T111" s="69"/>
      <c r="U111" s="69"/>
      <c r="V111" s="110"/>
      <c r="W111" s="111"/>
      <c r="X111" s="111"/>
      <c r="Y111" s="111"/>
      <c r="Z111" s="111"/>
      <c r="AA111" s="111"/>
      <c r="AB111" s="111"/>
      <c r="AC111" s="111"/>
      <c r="AD111" s="111"/>
      <c r="AE111" s="73" t="s">
        <v>51</v>
      </c>
      <c r="AF111" s="74" t="s">
        <v>52</v>
      </c>
      <c r="AG111" s="75">
        <f>ROUND(((X110*F110/3600)*0.13),4)</f>
        <v>5.9999999999999995E-4</v>
      </c>
      <c r="AH111" s="75">
        <f>ROUND(((AB110+AC110+AD110)*0.13),4)</f>
        <v>2.0000000000000001E-4</v>
      </c>
    </row>
    <row r="112" spans="1:38" ht="12.95" customHeight="1" x14ac:dyDescent="0.25">
      <c r="A112" s="571"/>
      <c r="B112" s="76" t="s">
        <v>322</v>
      </c>
      <c r="C112" s="76"/>
      <c r="D112" s="67"/>
      <c r="E112" s="67"/>
      <c r="F112" s="67"/>
      <c r="G112" s="67"/>
      <c r="H112" s="67"/>
      <c r="I112" s="67"/>
      <c r="J112" s="67"/>
      <c r="K112" s="67"/>
      <c r="L112" s="68"/>
      <c r="M112" s="68"/>
      <c r="N112" s="67"/>
      <c r="O112" s="67"/>
      <c r="P112" s="67"/>
      <c r="Q112" s="75">
        <v>0.09</v>
      </c>
      <c r="R112" s="78">
        <v>0.09</v>
      </c>
      <c r="S112" s="79">
        <v>0.108</v>
      </c>
      <c r="T112" s="78">
        <v>0.45</v>
      </c>
      <c r="U112" s="78">
        <v>0.56000000000000005</v>
      </c>
      <c r="V112" s="108">
        <f>ROUND((R112*N110+T112*L110+Q112*D110),4)</f>
        <v>0.45450000000000002</v>
      </c>
      <c r="W112" s="109">
        <f>ROUND((S112*0.9*O110+U112*0.9*L110+Q112*D110),4)</f>
        <v>0.67820000000000003</v>
      </c>
      <c r="X112" s="109">
        <f>ROUND((S112*P110+U112*L110+Q112*D110),4)</f>
        <v>2.2555999999999998</v>
      </c>
      <c r="Y112" s="109">
        <f>ROUND((T112*M110+Q112*E110),4)</f>
        <v>9.4500000000000001E-2</v>
      </c>
      <c r="Z112" s="109">
        <f>ROUND((U112*0.9*M110+Q112*E110),4)</f>
        <v>9.5000000000000001E-2</v>
      </c>
      <c r="AA112" s="109">
        <f>ROUND((U112*M110+Q112*E110),4)</f>
        <v>9.5600000000000004E-2</v>
      </c>
      <c r="AB112" s="109">
        <f>ROUND((H110*(V112+Y112)*G110*I110/1000000),5)</f>
        <v>1E-4</v>
      </c>
      <c r="AC112" s="109">
        <f>ROUND((H110*(W112+Z112)*G110*J110/1000000),5)</f>
        <v>4.0000000000000003E-5</v>
      </c>
      <c r="AD112" s="109">
        <f>ROUND((H110*(X112+AA112)*G110*K110/1000000),5)</f>
        <v>5.0000000000000002E-5</v>
      </c>
      <c r="AE112" s="73" t="s">
        <v>56</v>
      </c>
      <c r="AF112" s="74" t="s">
        <v>57</v>
      </c>
      <c r="AG112" s="75">
        <f>ROUND(((X112*F110/3600)),4)</f>
        <v>5.9999999999999995E-4</v>
      </c>
      <c r="AH112" s="75">
        <f>AB112+AC112+AD112</f>
        <v>1.9000000000000001E-4</v>
      </c>
    </row>
    <row r="113" spans="1:38" ht="12.95" customHeight="1" x14ac:dyDescent="0.25">
      <c r="A113" s="571"/>
      <c r="B113" s="132" t="s">
        <v>332</v>
      </c>
      <c r="C113" s="67"/>
      <c r="D113" s="67"/>
      <c r="E113" s="67"/>
      <c r="F113" s="67"/>
      <c r="G113" s="67"/>
      <c r="H113" s="67"/>
      <c r="I113" s="67"/>
      <c r="J113" s="67"/>
      <c r="K113" s="67"/>
      <c r="L113" s="68"/>
      <c r="M113" s="68"/>
      <c r="N113" s="67"/>
      <c r="O113" s="67"/>
      <c r="P113" s="67"/>
      <c r="Q113" s="75">
        <v>0.35</v>
      </c>
      <c r="R113" s="78">
        <v>0.38</v>
      </c>
      <c r="S113" s="75">
        <v>0.8</v>
      </c>
      <c r="T113" s="78">
        <v>0.9</v>
      </c>
      <c r="U113" s="78">
        <v>1.1000000000000001</v>
      </c>
      <c r="V113" s="108">
        <f>ROUND((R113*N110+T113*L110+Q113*D110),4)</f>
        <v>1.879</v>
      </c>
      <c r="W113" s="109">
        <f>ROUND((S113*0.9*O110+U113*0.9*L110+Q113*D110),4)</f>
        <v>4.6798999999999999</v>
      </c>
      <c r="X113" s="109">
        <f>ROUND((S113*P110+U113*L110+Q113*D110),4)</f>
        <v>16.361000000000001</v>
      </c>
      <c r="Y113" s="109">
        <f>ROUND((T113*M110+Q113*E110),4)</f>
        <v>0.35899999999999999</v>
      </c>
      <c r="Z113" s="109">
        <f>ROUND((U113*0.9*M110+Q113*E110),4)</f>
        <v>0.3599</v>
      </c>
      <c r="AA113" s="109">
        <f>ROUND((U113*M110+Q113*E110),4)</f>
        <v>0.36099999999999999</v>
      </c>
      <c r="AB113" s="109">
        <f>ROUND((H110*(V113+Y113)*G110*I110/1000000),4)</f>
        <v>4.0000000000000002E-4</v>
      </c>
      <c r="AC113" s="109">
        <f>ROUND((H110*(W113+Z113)*G110*J110/1000000),4)</f>
        <v>2.0000000000000001E-4</v>
      </c>
      <c r="AD113" s="109">
        <f>ROUND((H110*(X113+AA113)*G110*K110/1000000),4)</f>
        <v>2.9999999999999997E-4</v>
      </c>
      <c r="AE113" s="73" t="s">
        <v>177</v>
      </c>
      <c r="AF113" s="74" t="s">
        <v>178</v>
      </c>
      <c r="AG113" s="75">
        <f>ROUND(((X113*F110/3600)),4)</f>
        <v>4.4999999999999997E-3</v>
      </c>
      <c r="AH113" s="75">
        <f>AB113+AC113+AD113</f>
        <v>8.9999999999999998E-4</v>
      </c>
    </row>
    <row r="114" spans="1:38" ht="12.95" customHeight="1" x14ac:dyDescent="0.25">
      <c r="A114" s="572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8"/>
      <c r="M114" s="68"/>
      <c r="N114" s="67"/>
      <c r="O114" s="67"/>
      <c r="P114" s="67"/>
      <c r="Q114" s="75">
        <v>2.8</v>
      </c>
      <c r="R114" s="78">
        <v>2.8</v>
      </c>
      <c r="S114" s="75">
        <v>4.4000000000000004</v>
      </c>
      <c r="T114" s="78">
        <v>5.0999999999999996</v>
      </c>
      <c r="U114" s="78">
        <v>6.2</v>
      </c>
      <c r="V114" s="167">
        <f>ROUND((R114*N110+T114*L110+Q114*D110),4)</f>
        <v>14.051</v>
      </c>
      <c r="W114" s="168">
        <f>ROUND((S114*0.9*O110+U114*0.9*L110+Q114*D110),4)</f>
        <v>26.6158</v>
      </c>
      <c r="X114" s="168">
        <f>ROUND((S114*P110+U114*L110+Q114*D110),4)</f>
        <v>90.861999999999995</v>
      </c>
      <c r="Y114" s="168">
        <f>ROUND((T114*M110+Q114*E110),4)</f>
        <v>2.851</v>
      </c>
      <c r="Z114" s="168">
        <f>ROUND((U114*0.9*M110+Q114*E110),4)</f>
        <v>2.8557999999999999</v>
      </c>
      <c r="AA114" s="168">
        <f>ROUND((U114*M110+Q114*E110),4)</f>
        <v>2.8620000000000001</v>
      </c>
      <c r="AB114" s="168">
        <f>ROUND((H110*(V114+Y114)*G110*I110/1000000),4)</f>
        <v>3.0000000000000001E-3</v>
      </c>
      <c r="AC114" s="168">
        <f>ROUND((H110*(W114+Z114)*G110*J110/1000000),4)</f>
        <v>1.4E-3</v>
      </c>
      <c r="AD114" s="168">
        <f>ROUND((H110*(X114+AA114)*G110*K110/1000000),4)</f>
        <v>1.9E-3</v>
      </c>
      <c r="AE114" s="73" t="s">
        <v>65</v>
      </c>
      <c r="AF114" s="74" t="s">
        <v>66</v>
      </c>
      <c r="AG114" s="75">
        <f>ROUND(((X114*F110/3600)),4)</f>
        <v>2.52E-2</v>
      </c>
      <c r="AH114" s="75">
        <f>AB114+AC114+AD114</f>
        <v>6.3E-3</v>
      </c>
    </row>
    <row r="115" spans="1:38" ht="12.95" customHeight="1" x14ac:dyDescent="0.25">
      <c r="A115" s="573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70"/>
      <c r="M115" s="70"/>
      <c r="N115" s="69"/>
      <c r="O115" s="69"/>
      <c r="P115" s="69"/>
      <c r="Q115" s="75">
        <v>0.03</v>
      </c>
      <c r="R115" s="78">
        <v>0.03</v>
      </c>
      <c r="S115" s="75">
        <v>0.12</v>
      </c>
      <c r="T115" s="78">
        <v>0.25</v>
      </c>
      <c r="U115" s="78">
        <v>0.35</v>
      </c>
      <c r="V115" s="167">
        <f>ROUND((R115*N110+T115*L110+Q115*D110),4)</f>
        <v>0.1525</v>
      </c>
      <c r="W115" s="168">
        <f>ROUND((S115*0.9*O110+U115*0.9*L110+Q115*D110),4)</f>
        <v>0.68120000000000003</v>
      </c>
      <c r="X115" s="168">
        <f>ROUND((S115*P110+U115*L110+Q115*D110),4)</f>
        <v>2.4335</v>
      </c>
      <c r="Y115" s="168">
        <f>ROUND((T115*M110+Q115*E110),4)</f>
        <v>3.2500000000000001E-2</v>
      </c>
      <c r="Z115" s="168">
        <f>ROUND((U115*0.9*M110+Q115*E110),4)</f>
        <v>3.32E-2</v>
      </c>
      <c r="AA115" s="168">
        <f>ROUND((U115*M110+Q115*E110),4)</f>
        <v>3.3500000000000002E-2</v>
      </c>
      <c r="AB115" s="168">
        <f>ROUND((H110*(V115+Y115)*G110*I110/1000000),5)</f>
        <v>3.0000000000000001E-5</v>
      </c>
      <c r="AC115" s="168">
        <f>ROUND((H110*(W115+Z115)*G110*J110/1000000),5)</f>
        <v>3.0000000000000001E-5</v>
      </c>
      <c r="AD115" s="168">
        <f>ROUND((H110*(X115+AA115)*G110*K110/1000000),5)</f>
        <v>5.0000000000000002E-5</v>
      </c>
      <c r="AE115" s="73" t="s">
        <v>213</v>
      </c>
      <c r="AF115" s="74" t="s">
        <v>62</v>
      </c>
      <c r="AG115" s="75">
        <f>ROUND(((X115*F110/3600)),4)</f>
        <v>6.9999999999999999E-4</v>
      </c>
      <c r="AH115" s="75">
        <f>AB115+AC115+AD115</f>
        <v>1.1E-4</v>
      </c>
      <c r="AI115" s="61">
        <f>SUM(AG110:AG115)</f>
        <v>3.5299999999999998E-2</v>
      </c>
      <c r="AJ115" s="61">
        <f>SUM(AH110:AH115)</f>
        <v>8.7000000000000011E-3</v>
      </c>
      <c r="AL115" s="417">
        <f>AJ115/AI115*1000000/3600</f>
        <v>68.460812086874427</v>
      </c>
    </row>
    <row r="116" spans="1:38" ht="12.95" customHeight="1" x14ac:dyDescent="0.25">
      <c r="A116" s="1522" t="s">
        <v>549</v>
      </c>
      <c r="B116" s="1523"/>
      <c r="C116" s="1523"/>
      <c r="D116" s="1523"/>
      <c r="E116" s="1523"/>
      <c r="F116" s="1523"/>
      <c r="G116" s="1523"/>
      <c r="H116" s="1523"/>
      <c r="I116" s="1523"/>
      <c r="J116" s="1523"/>
      <c r="K116" s="1523"/>
      <c r="L116" s="1523"/>
      <c r="M116" s="1523"/>
      <c r="N116" s="1523"/>
      <c r="O116" s="1523"/>
      <c r="P116" s="1523"/>
      <c r="Q116" s="1523"/>
      <c r="R116" s="1523"/>
      <c r="S116" s="1523"/>
      <c r="T116" s="1524"/>
      <c r="U116" s="1524"/>
      <c r="V116" s="1523"/>
      <c r="W116" s="1523"/>
      <c r="X116" s="1523"/>
      <c r="Y116" s="1523"/>
      <c r="Z116" s="1523"/>
      <c r="AA116" s="1523"/>
      <c r="AB116" s="1523"/>
      <c r="AC116" s="1523"/>
      <c r="AD116" s="1523"/>
      <c r="AE116" s="1523"/>
      <c r="AF116" s="1523"/>
      <c r="AG116" s="1523"/>
      <c r="AH116" s="1525"/>
    </row>
    <row r="117" spans="1:38" ht="12.95" customHeight="1" x14ac:dyDescent="0.25">
      <c r="A117" s="506" t="s">
        <v>354</v>
      </c>
      <c r="B117" s="71" t="s">
        <v>211</v>
      </c>
      <c r="C117" s="1128" t="s">
        <v>323</v>
      </c>
      <c r="D117" s="65">
        <v>1</v>
      </c>
      <c r="E117" s="65">
        <v>1</v>
      </c>
      <c r="F117" s="65">
        <v>1</v>
      </c>
      <c r="G117" s="65">
        <v>1</v>
      </c>
      <c r="H117" s="65">
        <f>ROUND((F117/G117),2)</f>
        <v>1</v>
      </c>
      <c r="I117" s="65">
        <v>180</v>
      </c>
      <c r="J117" s="65">
        <v>47</v>
      </c>
      <c r="K117" s="66">
        <v>20</v>
      </c>
      <c r="L117" s="66">
        <v>0.01</v>
      </c>
      <c r="M117" s="66">
        <v>0.01</v>
      </c>
      <c r="N117" s="65">
        <v>4</v>
      </c>
      <c r="O117" s="65">
        <v>6</v>
      </c>
      <c r="P117" s="65">
        <v>20</v>
      </c>
      <c r="Q117" s="65">
        <v>0.6</v>
      </c>
      <c r="R117" s="72">
        <v>0.6</v>
      </c>
      <c r="S117" s="65">
        <v>0.8</v>
      </c>
      <c r="T117" s="72">
        <v>3.5</v>
      </c>
      <c r="U117" s="72">
        <v>3.5</v>
      </c>
      <c r="V117" s="108">
        <f>ROUND((R117*N117+T117*L117+Q117*D117),4)</f>
        <v>3.0350000000000001</v>
      </c>
      <c r="W117" s="109">
        <f>ROUND((S117*O117+U117*L117+Q117*D117),4)</f>
        <v>5.4349999999999996</v>
      </c>
      <c r="X117" s="109">
        <f>ROUND((S117*P117+U117*L117+Q117*D117),4)</f>
        <v>16.635000000000002</v>
      </c>
      <c r="Y117" s="109">
        <f>ROUND((T117*M117+Q117*E117),4)</f>
        <v>0.63500000000000001</v>
      </c>
      <c r="Z117" s="109">
        <f>ROUND((U117*M117+Q117*E117),4)</f>
        <v>0.63500000000000001</v>
      </c>
      <c r="AA117" s="109">
        <f>ROUND((U117*M117+Q117*E117),4)</f>
        <v>0.63500000000000001</v>
      </c>
      <c r="AB117" s="109">
        <f>ROUND((H117*(V117+Y117)*G117*I117/1000000),4)</f>
        <v>6.9999999999999999E-4</v>
      </c>
      <c r="AC117" s="109">
        <f>ROUND((H117*(W117+Z117)*G117*J117/1000000),4)</f>
        <v>2.9999999999999997E-4</v>
      </c>
      <c r="AD117" s="109">
        <f>ROUND((H117*(X117+AA117)*G117*K117/1000000),4)</f>
        <v>2.9999999999999997E-4</v>
      </c>
      <c r="AE117" s="73" t="s">
        <v>48</v>
      </c>
      <c r="AF117" s="74" t="s">
        <v>49</v>
      </c>
      <c r="AG117" s="75">
        <f>ROUND(((X117*F117/3600)*0.8),4)</f>
        <v>3.7000000000000002E-3</v>
      </c>
      <c r="AH117" s="75">
        <f>ROUND(((AB117+AC117+AD117)*0.8),4)</f>
        <v>1E-3</v>
      </c>
    </row>
    <row r="118" spans="1:38" ht="12.95" customHeight="1" x14ac:dyDescent="0.25">
      <c r="A118" s="570" t="s">
        <v>150</v>
      </c>
      <c r="B118" s="67" t="s">
        <v>212</v>
      </c>
      <c r="C118" s="1129"/>
      <c r="D118" s="67"/>
      <c r="E118" s="67"/>
      <c r="F118" s="67"/>
      <c r="G118" s="67"/>
      <c r="H118" s="67"/>
      <c r="I118" s="67"/>
      <c r="J118" s="67"/>
      <c r="K118" s="67"/>
      <c r="L118" s="68"/>
      <c r="M118" s="68"/>
      <c r="N118" s="67"/>
      <c r="O118" s="67"/>
      <c r="P118" s="67"/>
      <c r="Q118" s="69"/>
      <c r="R118" s="69"/>
      <c r="S118" s="70"/>
      <c r="T118" s="69"/>
      <c r="U118" s="69"/>
      <c r="V118" s="110"/>
      <c r="W118" s="111"/>
      <c r="X118" s="111"/>
      <c r="Y118" s="111"/>
      <c r="Z118" s="111"/>
      <c r="AA118" s="111"/>
      <c r="AB118" s="111"/>
      <c r="AC118" s="111"/>
      <c r="AD118" s="111"/>
      <c r="AE118" s="73" t="s">
        <v>51</v>
      </c>
      <c r="AF118" s="74" t="s">
        <v>52</v>
      </c>
      <c r="AG118" s="75">
        <f>ROUND(((X117*F117/3600)*0.13),4)</f>
        <v>5.9999999999999995E-4</v>
      </c>
      <c r="AH118" s="75">
        <f>ROUND(((AB117+AC117+AD117)*0.13),4)</f>
        <v>2.0000000000000001E-4</v>
      </c>
    </row>
    <row r="119" spans="1:38" ht="12.95" customHeight="1" x14ac:dyDescent="0.25">
      <c r="A119" s="571"/>
      <c r="B119" s="76" t="s">
        <v>322</v>
      </c>
      <c r="C119" s="76"/>
      <c r="D119" s="67"/>
      <c r="E119" s="67"/>
      <c r="F119" s="67"/>
      <c r="G119" s="67"/>
      <c r="H119" s="67"/>
      <c r="I119" s="67"/>
      <c r="J119" s="67"/>
      <c r="K119" s="67"/>
      <c r="L119" s="68"/>
      <c r="M119" s="68"/>
      <c r="N119" s="67"/>
      <c r="O119" s="67"/>
      <c r="P119" s="67"/>
      <c r="Q119" s="75">
        <v>0.09</v>
      </c>
      <c r="R119" s="78">
        <v>0.09</v>
      </c>
      <c r="S119" s="79">
        <v>0.108</v>
      </c>
      <c r="T119" s="78">
        <v>0.45</v>
      </c>
      <c r="U119" s="78">
        <v>0.56000000000000005</v>
      </c>
      <c r="V119" s="108">
        <f>ROUND((R119*N117+T119*L117+Q119*D117),4)</f>
        <v>0.45450000000000002</v>
      </c>
      <c r="W119" s="109">
        <f>ROUND((S119*0.9*O117+U119*0.9*L117+Q119*D117),4)</f>
        <v>0.67820000000000003</v>
      </c>
      <c r="X119" s="109">
        <f>ROUND((S119*P117+U119*L117+Q119*D117),4)</f>
        <v>2.2555999999999998</v>
      </c>
      <c r="Y119" s="109">
        <f>ROUND((T119*M117+Q119*E117),4)</f>
        <v>9.4500000000000001E-2</v>
      </c>
      <c r="Z119" s="109">
        <f>ROUND((U119*0.9*M117+Q119*E117),4)</f>
        <v>9.5000000000000001E-2</v>
      </c>
      <c r="AA119" s="109">
        <f>ROUND((U119*M117+Q119*E117),4)</f>
        <v>9.5600000000000004E-2</v>
      </c>
      <c r="AB119" s="109">
        <f>ROUND((H117*(V119+Y119)*G117*I117/1000000),5)</f>
        <v>1E-4</v>
      </c>
      <c r="AC119" s="109">
        <f>ROUND((H117*(W119+Z119)*G117*J117/1000000),5)</f>
        <v>4.0000000000000003E-5</v>
      </c>
      <c r="AD119" s="109">
        <f>ROUND((H117*(X119+AA119)*G117*K117/1000000),5)</f>
        <v>5.0000000000000002E-5</v>
      </c>
      <c r="AE119" s="73" t="s">
        <v>56</v>
      </c>
      <c r="AF119" s="74" t="s">
        <v>57</v>
      </c>
      <c r="AG119" s="75">
        <f>ROUND(((X119*F117/3600)),4)</f>
        <v>5.9999999999999995E-4</v>
      </c>
      <c r="AH119" s="75">
        <f>AB119+AC119+AD119</f>
        <v>1.9000000000000001E-4</v>
      </c>
    </row>
    <row r="120" spans="1:38" ht="12.95" customHeight="1" x14ac:dyDescent="0.25">
      <c r="A120" s="571"/>
      <c r="B120" s="132" t="s">
        <v>332</v>
      </c>
      <c r="C120" s="67"/>
      <c r="D120" s="67"/>
      <c r="E120" s="67"/>
      <c r="F120" s="67"/>
      <c r="G120" s="67"/>
      <c r="H120" s="67"/>
      <c r="I120" s="67"/>
      <c r="J120" s="67"/>
      <c r="K120" s="67"/>
      <c r="L120" s="68"/>
      <c r="M120" s="68"/>
      <c r="N120" s="67"/>
      <c r="O120" s="67"/>
      <c r="P120" s="67"/>
      <c r="Q120" s="75">
        <v>0.35</v>
      </c>
      <c r="R120" s="78">
        <v>0.38</v>
      </c>
      <c r="S120" s="75">
        <v>0.8</v>
      </c>
      <c r="T120" s="78">
        <v>0.9</v>
      </c>
      <c r="U120" s="78">
        <v>1.1000000000000001</v>
      </c>
      <c r="V120" s="108">
        <f>ROUND((R120*N117+T120*L117+Q120*D117),4)</f>
        <v>1.879</v>
      </c>
      <c r="W120" s="109">
        <f>ROUND((S120*0.9*O117+U120*0.9*L117+Q120*D117),4)</f>
        <v>4.6798999999999999</v>
      </c>
      <c r="X120" s="109">
        <f>ROUND((S120*P117+U120*L117+Q120*D117),4)</f>
        <v>16.361000000000001</v>
      </c>
      <c r="Y120" s="109">
        <f>ROUND((T120*M117+Q120*E117),4)</f>
        <v>0.35899999999999999</v>
      </c>
      <c r="Z120" s="109">
        <f>ROUND((U120*0.9*M117+Q120*E117),4)</f>
        <v>0.3599</v>
      </c>
      <c r="AA120" s="109">
        <f>ROUND((U120*M117+Q120*E117),4)</f>
        <v>0.36099999999999999</v>
      </c>
      <c r="AB120" s="109">
        <f>ROUND((H117*(V120+Y120)*G117*I117/1000000),4)</f>
        <v>4.0000000000000002E-4</v>
      </c>
      <c r="AC120" s="109">
        <f>ROUND((H117*(W120+Z120)*G117*J117/1000000),4)</f>
        <v>2.0000000000000001E-4</v>
      </c>
      <c r="AD120" s="109">
        <f>ROUND((H117*(X120+AA120)*G117*K117/1000000),4)</f>
        <v>2.9999999999999997E-4</v>
      </c>
      <c r="AE120" s="73" t="s">
        <v>177</v>
      </c>
      <c r="AF120" s="74" t="s">
        <v>178</v>
      </c>
      <c r="AG120" s="75">
        <f>ROUND(((X120*F117/3600)),4)</f>
        <v>4.4999999999999997E-3</v>
      </c>
      <c r="AH120" s="75">
        <f>AB120+AC120+AD120</f>
        <v>8.9999999999999998E-4</v>
      </c>
    </row>
    <row r="121" spans="1:38" ht="12.95" customHeight="1" x14ac:dyDescent="0.25">
      <c r="A121" s="572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8"/>
      <c r="M121" s="68"/>
      <c r="N121" s="67"/>
      <c r="O121" s="67"/>
      <c r="P121" s="67"/>
      <c r="Q121" s="75">
        <v>2.8</v>
      </c>
      <c r="R121" s="78">
        <v>2.8</v>
      </c>
      <c r="S121" s="75">
        <v>4.4000000000000004</v>
      </c>
      <c r="T121" s="78">
        <v>5.0999999999999996</v>
      </c>
      <c r="U121" s="78">
        <v>6.2</v>
      </c>
      <c r="V121" s="167">
        <f>ROUND((R121*N117+T121*L117+Q121*D117),4)</f>
        <v>14.051</v>
      </c>
      <c r="W121" s="168">
        <f>ROUND((S121*0.9*O117+U121*0.9*L117+Q121*D117),4)</f>
        <v>26.6158</v>
      </c>
      <c r="X121" s="168">
        <f>ROUND((S121*P117+U121*L117+Q121*D117),4)</f>
        <v>90.861999999999995</v>
      </c>
      <c r="Y121" s="168">
        <f>ROUND((T121*M117+Q121*E117),4)</f>
        <v>2.851</v>
      </c>
      <c r="Z121" s="168">
        <f>ROUND((U121*0.9*M117+Q121*E117),4)</f>
        <v>2.8557999999999999</v>
      </c>
      <c r="AA121" s="168">
        <f>ROUND((U121*M117+Q121*E117),4)</f>
        <v>2.8620000000000001</v>
      </c>
      <c r="AB121" s="168">
        <f>ROUND((H117*(V121+Y121)*G117*I117/1000000),4)</f>
        <v>3.0000000000000001E-3</v>
      </c>
      <c r="AC121" s="168">
        <f>ROUND((H117*(W121+Z121)*G117*J117/1000000),4)</f>
        <v>1.4E-3</v>
      </c>
      <c r="AD121" s="168">
        <f>ROUND((H117*(X121+AA121)*G117*K117/1000000),4)</f>
        <v>1.9E-3</v>
      </c>
      <c r="AE121" s="73" t="s">
        <v>65</v>
      </c>
      <c r="AF121" s="74" t="s">
        <v>66</v>
      </c>
      <c r="AG121" s="75">
        <f>ROUND(((X121*F117/3600)),4)</f>
        <v>2.52E-2</v>
      </c>
      <c r="AH121" s="75">
        <f>AB121+AC121+AD121</f>
        <v>6.3E-3</v>
      </c>
    </row>
    <row r="122" spans="1:38" ht="12.95" customHeight="1" x14ac:dyDescent="0.25">
      <c r="A122" s="573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70"/>
      <c r="M122" s="70"/>
      <c r="N122" s="69"/>
      <c r="O122" s="69"/>
      <c r="P122" s="69"/>
      <c r="Q122" s="75">
        <v>0.03</v>
      </c>
      <c r="R122" s="78">
        <v>0.03</v>
      </c>
      <c r="S122" s="75">
        <v>0.12</v>
      </c>
      <c r="T122" s="78">
        <v>0.25</v>
      </c>
      <c r="U122" s="78">
        <v>0.35</v>
      </c>
      <c r="V122" s="167">
        <f>ROUND((R122*N117+T122*L117+Q122*D117),4)</f>
        <v>0.1525</v>
      </c>
      <c r="W122" s="168">
        <f>ROUND((S122*0.9*O117+U122*0.9*L117+Q122*D117),4)</f>
        <v>0.68120000000000003</v>
      </c>
      <c r="X122" s="168">
        <f>ROUND((S122*P117+U122*L117+Q122*D117),4)</f>
        <v>2.4335</v>
      </c>
      <c r="Y122" s="168">
        <f>ROUND((T122*M117+Q122*E117),4)</f>
        <v>3.2500000000000001E-2</v>
      </c>
      <c r="Z122" s="168">
        <f>ROUND((U122*0.9*M117+Q122*E117),4)</f>
        <v>3.32E-2</v>
      </c>
      <c r="AA122" s="168">
        <f>ROUND((U122*M117+Q122*E117),4)</f>
        <v>3.3500000000000002E-2</v>
      </c>
      <c r="AB122" s="168">
        <f>ROUND((H117*(V122+Y122)*G117*I117/1000000),5)</f>
        <v>3.0000000000000001E-5</v>
      </c>
      <c r="AC122" s="168">
        <f>ROUND((H117*(W122+Z122)*G117*J117/1000000),5)</f>
        <v>3.0000000000000001E-5</v>
      </c>
      <c r="AD122" s="168">
        <f>ROUND((H117*(X122+AA122)*G117*K117/1000000),5)</f>
        <v>5.0000000000000002E-5</v>
      </c>
      <c r="AE122" s="73" t="s">
        <v>213</v>
      </c>
      <c r="AF122" s="74" t="s">
        <v>62</v>
      </c>
      <c r="AG122" s="75">
        <f>ROUND(((X122*F117/3600)),4)</f>
        <v>6.9999999999999999E-4</v>
      </c>
      <c r="AH122" s="75">
        <f>AB122+AC122+AD122</f>
        <v>1.1E-4</v>
      </c>
      <c r="AI122" s="61">
        <f>SUM(AG117:AG122)</f>
        <v>3.5299999999999998E-2</v>
      </c>
      <c r="AJ122" s="61">
        <f>SUM(AH117:AH122)</f>
        <v>8.7000000000000011E-3</v>
      </c>
    </row>
    <row r="123" spans="1:38" ht="12.95" customHeight="1" x14ac:dyDescent="0.25">
      <c r="A123" s="1526" t="s">
        <v>366</v>
      </c>
      <c r="B123" s="1246"/>
      <c r="C123" s="1246"/>
      <c r="D123" s="1246"/>
      <c r="E123" s="1246"/>
      <c r="F123" s="1246"/>
      <c r="G123" s="1246"/>
      <c r="H123" s="1246"/>
      <c r="I123" s="1246"/>
      <c r="J123" s="1246"/>
      <c r="K123" s="1246"/>
      <c r="L123" s="1246"/>
      <c r="M123" s="1246"/>
      <c r="N123" s="1246"/>
      <c r="O123" s="1246"/>
      <c r="P123" s="1246"/>
      <c r="Q123" s="1246"/>
      <c r="R123" s="1246"/>
      <c r="S123" s="1246"/>
      <c r="T123" s="1246"/>
      <c r="U123" s="1246"/>
      <c r="V123" s="1246"/>
      <c r="W123" s="1246"/>
      <c r="X123" s="1246"/>
      <c r="Y123" s="1246"/>
      <c r="Z123" s="1246"/>
      <c r="AA123" s="1246"/>
      <c r="AB123" s="1246"/>
      <c r="AC123" s="1246"/>
      <c r="AD123" s="1246"/>
      <c r="AE123" s="1246"/>
      <c r="AF123" s="1246"/>
      <c r="AG123" s="1246"/>
      <c r="AH123" s="1247"/>
      <c r="AI123" s="61">
        <f>SUM(AI49:AI122)</f>
        <v>0.25850000000000001</v>
      </c>
      <c r="AJ123" s="61">
        <f>SUM(AJ49:AJ122)</f>
        <v>8.5769999999999999E-2</v>
      </c>
      <c r="AL123" t="s">
        <v>1283</v>
      </c>
    </row>
    <row r="124" spans="1:38" ht="12.95" customHeight="1" x14ac:dyDescent="0.25">
      <c r="A124" s="1522" t="s">
        <v>446</v>
      </c>
      <c r="B124" s="1523"/>
      <c r="C124" s="1523"/>
      <c r="D124" s="1523"/>
      <c r="E124" s="1523"/>
      <c r="F124" s="1523"/>
      <c r="G124" s="1523"/>
      <c r="H124" s="1523"/>
      <c r="I124" s="1523"/>
      <c r="J124" s="1523"/>
      <c r="K124" s="1523"/>
      <c r="L124" s="1523"/>
      <c r="M124" s="1523"/>
      <c r="N124" s="1523"/>
      <c r="O124" s="1523"/>
      <c r="P124" s="1523"/>
      <c r="Q124" s="1523"/>
      <c r="R124" s="1523"/>
      <c r="S124" s="1523"/>
      <c r="T124" s="1524"/>
      <c r="U124" s="1524"/>
      <c r="V124" s="1523"/>
      <c r="W124" s="1523"/>
      <c r="X124" s="1523"/>
      <c r="Y124" s="1523"/>
      <c r="Z124" s="1523"/>
      <c r="AA124" s="1523"/>
      <c r="AB124" s="1523"/>
      <c r="AC124" s="1523"/>
      <c r="AD124" s="1523"/>
      <c r="AE124" s="1523"/>
      <c r="AF124" s="1523"/>
      <c r="AG124" s="1523"/>
      <c r="AH124" s="1525"/>
    </row>
    <row r="125" spans="1:38" ht="12.95" customHeight="1" x14ac:dyDescent="0.25">
      <c r="A125" s="506" t="s">
        <v>371</v>
      </c>
      <c r="B125" s="71" t="s">
        <v>211</v>
      </c>
      <c r="C125" s="1128" t="s">
        <v>444</v>
      </c>
      <c r="D125" s="65">
        <v>1</v>
      </c>
      <c r="E125" s="65">
        <v>1</v>
      </c>
      <c r="F125" s="65">
        <v>1</v>
      </c>
      <c r="G125" s="65">
        <v>1</v>
      </c>
      <c r="H125" s="65">
        <f>ROUND((F125/G125),2)</f>
        <v>1</v>
      </c>
      <c r="I125" s="65">
        <v>180</v>
      </c>
      <c r="J125" s="65">
        <v>90</v>
      </c>
      <c r="K125" s="66">
        <v>95</v>
      </c>
      <c r="L125" s="66">
        <v>0.01</v>
      </c>
      <c r="M125" s="66">
        <v>0.01</v>
      </c>
      <c r="N125" s="65">
        <v>4</v>
      </c>
      <c r="O125" s="65">
        <v>6</v>
      </c>
      <c r="P125" s="65">
        <v>20</v>
      </c>
      <c r="Q125" s="65">
        <v>1</v>
      </c>
      <c r="R125" s="72">
        <v>1</v>
      </c>
      <c r="S125" s="65">
        <v>2</v>
      </c>
      <c r="T125" s="72">
        <v>4</v>
      </c>
      <c r="U125" s="72">
        <v>4</v>
      </c>
      <c r="V125" s="108">
        <f>ROUND((R125*N125+T125*L125+Q125*D125),4)</f>
        <v>5.04</v>
      </c>
      <c r="W125" s="109">
        <f>ROUND((S125*O125+U125*L125+Q125*D125),4)</f>
        <v>13.04</v>
      </c>
      <c r="X125" s="109">
        <f>ROUND((S125*P125+U125*L125+Q125*D125),4)</f>
        <v>41.04</v>
      </c>
      <c r="Y125" s="109">
        <f>ROUND((T125*M125+Q125*E125),4)</f>
        <v>1.04</v>
      </c>
      <c r="Z125" s="109">
        <f>ROUND((U125*M125+Q125*E125),4)</f>
        <v>1.04</v>
      </c>
      <c r="AA125" s="109">
        <f>ROUND((U125*M125+Q125*E125),4)</f>
        <v>1.04</v>
      </c>
      <c r="AB125" s="109">
        <f>ROUND((H125*(V125+Y125)*G125*I125/1000000),4)</f>
        <v>1.1000000000000001E-3</v>
      </c>
      <c r="AC125" s="109">
        <f>ROUND((H125*(W125+Z125)*G125*J125/1000000),4)</f>
        <v>1.2999999999999999E-3</v>
      </c>
      <c r="AD125" s="109">
        <f>ROUND((H125*(X125+AA125)*G125*K125/1000000),4)</f>
        <v>4.0000000000000001E-3</v>
      </c>
      <c r="AE125" s="73" t="s">
        <v>48</v>
      </c>
      <c r="AF125" s="74" t="s">
        <v>49</v>
      </c>
      <c r="AG125" s="75">
        <f>ROUND(((X125*F125/3600)*0.8),4)</f>
        <v>9.1000000000000004E-3</v>
      </c>
      <c r="AH125" s="75">
        <f>ROUND(((AB125+AC125+AD125)*0.8),4)</f>
        <v>5.1000000000000004E-3</v>
      </c>
    </row>
    <row r="126" spans="1:38" ht="12.95" customHeight="1" x14ac:dyDescent="0.25">
      <c r="A126" s="570" t="s">
        <v>720</v>
      </c>
      <c r="B126" s="67" t="s">
        <v>212</v>
      </c>
      <c r="C126" s="1129"/>
      <c r="D126" s="67"/>
      <c r="E126" s="67"/>
      <c r="F126" s="67"/>
      <c r="G126" s="67"/>
      <c r="H126" s="67"/>
      <c r="I126" s="67"/>
      <c r="J126" s="67"/>
      <c r="K126" s="67"/>
      <c r="L126" s="68"/>
      <c r="M126" s="68"/>
      <c r="N126" s="67"/>
      <c r="O126" s="67"/>
      <c r="P126" s="67"/>
      <c r="Q126" s="69"/>
      <c r="R126" s="69"/>
      <c r="S126" s="70"/>
      <c r="T126" s="69"/>
      <c r="U126" s="69"/>
      <c r="V126" s="110"/>
      <c r="W126" s="111"/>
      <c r="X126" s="111"/>
      <c r="Y126" s="111"/>
      <c r="Z126" s="111"/>
      <c r="AA126" s="111"/>
      <c r="AB126" s="111"/>
      <c r="AC126" s="111"/>
      <c r="AD126" s="111"/>
      <c r="AE126" s="73" t="s">
        <v>51</v>
      </c>
      <c r="AF126" s="74" t="s">
        <v>52</v>
      </c>
      <c r="AG126" s="75">
        <f>ROUND(((X125*F125/3600)*0.13),4)</f>
        <v>1.5E-3</v>
      </c>
      <c r="AH126" s="75">
        <f>ROUND(((AB125+AC125+AD125)*0.13),4)</f>
        <v>8.0000000000000004E-4</v>
      </c>
    </row>
    <row r="127" spans="1:38" ht="12.95" customHeight="1" x14ac:dyDescent="0.25">
      <c r="A127" s="571"/>
      <c r="B127" s="76"/>
      <c r="C127" s="76"/>
      <c r="D127" s="67"/>
      <c r="E127" s="67"/>
      <c r="F127" s="67"/>
      <c r="G127" s="67"/>
      <c r="H127" s="67"/>
      <c r="I127" s="67"/>
      <c r="J127" s="67"/>
      <c r="K127" s="67"/>
      <c r="L127" s="68"/>
      <c r="M127" s="68"/>
      <c r="N127" s="67"/>
      <c r="O127" s="67"/>
      <c r="P127" s="67"/>
      <c r="Q127" s="75">
        <v>0.1</v>
      </c>
      <c r="R127" s="78">
        <v>0.113</v>
      </c>
      <c r="S127" s="79">
        <v>0.13600000000000001</v>
      </c>
      <c r="T127" s="78">
        <v>0.54</v>
      </c>
      <c r="U127" s="78">
        <v>0.67</v>
      </c>
      <c r="V127" s="108">
        <f>ROUND((R127*N125+T127*L125+Q127*D125),4)</f>
        <v>0.55740000000000001</v>
      </c>
      <c r="W127" s="109">
        <f>ROUND((S127*0.9*O125+U127*0.9*L125+Q127*D125),4)</f>
        <v>0.84040000000000004</v>
      </c>
      <c r="X127" s="109">
        <f>ROUND((S127*P125+U127*L125+Q127*D125),4)</f>
        <v>2.8267000000000002</v>
      </c>
      <c r="Y127" s="109">
        <f>ROUND((T127*M125+Q127*E125),4)</f>
        <v>0.10539999999999999</v>
      </c>
      <c r="Z127" s="109">
        <f>ROUND((U127*0.9*M125+Q127*E125),4)</f>
        <v>0.106</v>
      </c>
      <c r="AA127" s="109">
        <f>ROUND((U127*M125+Q127*E125),4)</f>
        <v>0.1067</v>
      </c>
      <c r="AB127" s="109">
        <f>ROUND((H125*(V127+Y127)*G125*I125/1000000),5)</f>
        <v>1.2E-4</v>
      </c>
      <c r="AC127" s="109">
        <f>ROUND((H125*(W127+Z127)*G125*J125/1000000),5)</f>
        <v>9.0000000000000006E-5</v>
      </c>
      <c r="AD127" s="109">
        <f>ROUND((H125*(X127+AA127)*G125*K125/1000000),5)</f>
        <v>2.7999999999999998E-4</v>
      </c>
      <c r="AE127" s="73" t="s">
        <v>56</v>
      </c>
      <c r="AF127" s="74" t="s">
        <v>57</v>
      </c>
      <c r="AG127" s="75">
        <f>ROUND(((X127*F125/3600)),4)</f>
        <v>8.0000000000000004E-4</v>
      </c>
      <c r="AH127" s="75">
        <f>AB127+AC127+AD127</f>
        <v>4.8999999999999998E-4</v>
      </c>
    </row>
    <row r="128" spans="1:38" ht="12.95" customHeight="1" x14ac:dyDescent="0.25">
      <c r="A128" s="571"/>
      <c r="B128" s="132"/>
      <c r="C128" s="67"/>
      <c r="D128" s="67"/>
      <c r="E128" s="67"/>
      <c r="F128" s="67"/>
      <c r="G128" s="67"/>
      <c r="H128" s="67"/>
      <c r="I128" s="67"/>
      <c r="J128" s="67"/>
      <c r="K128" s="67"/>
      <c r="L128" s="68"/>
      <c r="M128" s="68"/>
      <c r="N128" s="67"/>
      <c r="O128" s="67"/>
      <c r="P128" s="67"/>
      <c r="Q128" s="75">
        <v>0.45</v>
      </c>
      <c r="R128" s="78">
        <v>0.4</v>
      </c>
      <c r="S128" s="75">
        <v>1.1000000000000001</v>
      </c>
      <c r="T128" s="78">
        <v>1</v>
      </c>
      <c r="U128" s="78">
        <v>1.2</v>
      </c>
      <c r="V128" s="108">
        <f>ROUND((R128*N125+T128*L125+Q128*D125),4)</f>
        <v>2.06</v>
      </c>
      <c r="W128" s="109">
        <f>ROUND((S128*0.9*O125+U128*0.9*L125+Q128*D125),4)</f>
        <v>6.4008000000000003</v>
      </c>
      <c r="X128" s="109">
        <f>ROUND((S128*P125+U128*L125+Q128*D125),4)</f>
        <v>22.462</v>
      </c>
      <c r="Y128" s="109">
        <f>ROUND((T128*M125+Q128*E125),4)</f>
        <v>0.46</v>
      </c>
      <c r="Z128" s="109">
        <f>ROUND((U128*0.9*M125+Q128*E125),4)</f>
        <v>0.46079999999999999</v>
      </c>
      <c r="AA128" s="109">
        <f>ROUND((U128*M125+Q128*E125),4)</f>
        <v>0.46200000000000002</v>
      </c>
      <c r="AB128" s="109">
        <f>ROUND((H125*(V128+Y128)*G125*I125/1000000),4)</f>
        <v>5.0000000000000001E-4</v>
      </c>
      <c r="AC128" s="109">
        <f>ROUND((H125*(W128+Z128)*G125*J125/1000000),4)</f>
        <v>5.9999999999999995E-4</v>
      </c>
      <c r="AD128" s="109">
        <f>ROUND((H125*(X128+AA128)*G125*K125/1000000),4)</f>
        <v>2.2000000000000001E-3</v>
      </c>
      <c r="AE128" s="73" t="s">
        <v>177</v>
      </c>
      <c r="AF128" s="74" t="s">
        <v>178</v>
      </c>
      <c r="AG128" s="75">
        <f>ROUND(((X128*F125/3600)),4)</f>
        <v>6.1999999999999998E-3</v>
      </c>
      <c r="AH128" s="75">
        <f>AB128+AC128+AD128</f>
        <v>3.3E-3</v>
      </c>
    </row>
    <row r="129" spans="1:38" ht="12.95" customHeight="1" x14ac:dyDescent="0.25">
      <c r="A129" s="572"/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8"/>
      <c r="M129" s="68"/>
      <c r="N129" s="67"/>
      <c r="O129" s="67"/>
      <c r="P129" s="67"/>
      <c r="Q129" s="75">
        <v>2.9</v>
      </c>
      <c r="R129" s="78">
        <v>3</v>
      </c>
      <c r="S129" s="75">
        <v>8.1999999999999993</v>
      </c>
      <c r="T129" s="78">
        <v>6.1</v>
      </c>
      <c r="U129" s="78">
        <v>7.4</v>
      </c>
      <c r="V129" s="167">
        <f>ROUND((R129*N125+T129*L125+Q129*D125),4)</f>
        <v>14.961</v>
      </c>
      <c r="W129" s="168">
        <f>ROUND((S129*0.9*O125+U129*0.9*L125+Q129*D125),4)</f>
        <v>47.246600000000001</v>
      </c>
      <c r="X129" s="168">
        <f>ROUND((S129*P125+U129*L125+Q129*D125),4)</f>
        <v>166.97399999999999</v>
      </c>
      <c r="Y129" s="168">
        <f>ROUND((T129*M125+Q129*E125),4)</f>
        <v>2.9609999999999999</v>
      </c>
      <c r="Z129" s="168">
        <f>ROUND((U129*0.9*M125+Q129*E125),4)</f>
        <v>2.9666000000000001</v>
      </c>
      <c r="AA129" s="168">
        <f>ROUND((U129*M125+Q129*E125),4)</f>
        <v>2.9740000000000002</v>
      </c>
      <c r="AB129" s="168">
        <f>ROUND((H125*(V129+Y129)*G125*I125/1000000),4)</f>
        <v>3.2000000000000002E-3</v>
      </c>
      <c r="AC129" s="168">
        <f>ROUND((H125*(W129+Z129)*G125*J125/1000000),4)</f>
        <v>4.4999999999999997E-3</v>
      </c>
      <c r="AD129" s="168">
        <f>ROUND((H125*(X129+AA129)*G125*K125/1000000),4)</f>
        <v>1.61E-2</v>
      </c>
      <c r="AE129" s="73" t="s">
        <v>65</v>
      </c>
      <c r="AF129" s="74" t="s">
        <v>66</v>
      </c>
      <c r="AG129" s="75">
        <f>ROUND(((X129*F125/3600)),4)</f>
        <v>4.6399999999999997E-2</v>
      </c>
      <c r="AH129" s="75">
        <f>AB129+AC129+AD129</f>
        <v>2.3800000000000002E-2</v>
      </c>
    </row>
    <row r="130" spans="1:38" ht="12.95" customHeight="1" x14ac:dyDescent="0.25">
      <c r="A130" s="573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70"/>
      <c r="M130" s="70"/>
      <c r="N130" s="69"/>
      <c r="O130" s="69"/>
      <c r="P130" s="69"/>
      <c r="Q130" s="75">
        <v>0.04</v>
      </c>
      <c r="R130" s="78">
        <v>0.04</v>
      </c>
      <c r="S130" s="75">
        <v>0.16</v>
      </c>
      <c r="T130" s="78">
        <v>0.3</v>
      </c>
      <c r="U130" s="78">
        <v>0.4</v>
      </c>
      <c r="V130" s="167">
        <f>ROUND((R130*N125+T130*L125+Q130*D125),4)</f>
        <v>0.20300000000000001</v>
      </c>
      <c r="W130" s="168">
        <f>ROUND((S130*0.9*O125+U130*0.9*L125+Q130*D125),4)</f>
        <v>0.90759999999999996</v>
      </c>
      <c r="X130" s="168">
        <f>ROUND((S130*P125+U130*L125+Q130*D125),4)</f>
        <v>3.2440000000000002</v>
      </c>
      <c r="Y130" s="168">
        <f>ROUND((T130*M125+Q130*E125),4)</f>
        <v>4.2999999999999997E-2</v>
      </c>
      <c r="Z130" s="168">
        <f>ROUND((U130*0.9*M125+Q130*E125),4)</f>
        <v>4.36E-2</v>
      </c>
      <c r="AA130" s="168">
        <f>ROUND((U130*M125+Q130*E125),4)</f>
        <v>4.3999999999999997E-2</v>
      </c>
      <c r="AB130" s="168">
        <f>ROUND((H125*(V130+Y130)*G125*I125/1000000),5)</f>
        <v>4.0000000000000003E-5</v>
      </c>
      <c r="AC130" s="168">
        <f>ROUND((H125*(W130+Z130)*G125*J125/1000000),5)</f>
        <v>9.0000000000000006E-5</v>
      </c>
      <c r="AD130" s="168">
        <f>ROUND((H125*(X130+AA130)*G125*K125/1000000),4)</f>
        <v>2.9999999999999997E-4</v>
      </c>
      <c r="AE130" s="73" t="s">
        <v>213</v>
      </c>
      <c r="AF130" s="74" t="s">
        <v>62</v>
      </c>
      <c r="AG130" s="75">
        <f>ROUND(((X130*F125/3600)),4)</f>
        <v>8.9999999999999998E-4</v>
      </c>
      <c r="AH130" s="75">
        <f>AB130+AC130+AD130</f>
        <v>4.2999999999999999E-4</v>
      </c>
      <c r="AI130" s="61">
        <f>SUM(AG125:AG130)</f>
        <v>6.4899999999999999E-2</v>
      </c>
      <c r="AJ130" s="61">
        <f>SUM(AH125:AH130)</f>
        <v>3.3920000000000006E-2</v>
      </c>
      <c r="AL130" t="s">
        <v>1281</v>
      </c>
    </row>
    <row r="131" spans="1:38" ht="12.95" customHeight="1" x14ac:dyDescent="0.25">
      <c r="A131" s="1172" t="s">
        <v>1153</v>
      </c>
      <c r="B131" s="1173"/>
      <c r="C131" s="1173"/>
      <c r="D131" s="1173"/>
      <c r="E131" s="1173"/>
      <c r="F131" s="1173"/>
      <c r="G131" s="1173"/>
      <c r="H131" s="1173"/>
      <c r="I131" s="1173"/>
      <c r="J131" s="1173"/>
      <c r="K131" s="1173"/>
      <c r="L131" s="1173"/>
      <c r="M131" s="1173"/>
      <c r="N131" s="1173"/>
      <c r="O131" s="1173"/>
      <c r="P131" s="1173"/>
      <c r="Q131" s="1173"/>
      <c r="R131" s="1173"/>
      <c r="S131" s="1173"/>
      <c r="T131" s="1173"/>
      <c r="U131" s="1173"/>
      <c r="V131" s="1173"/>
      <c r="W131" s="1173"/>
      <c r="X131" s="1173"/>
      <c r="Y131" s="1173"/>
      <c r="Z131" s="1173"/>
      <c r="AA131" s="1173"/>
      <c r="AB131" s="1173"/>
      <c r="AC131" s="1173"/>
      <c r="AD131" s="1173"/>
      <c r="AE131" s="1173"/>
      <c r="AF131" s="1173"/>
      <c r="AG131" s="1173"/>
      <c r="AH131" s="1174"/>
    </row>
    <row r="132" spans="1:38" ht="12.95" customHeight="1" x14ac:dyDescent="0.25">
      <c r="A132" s="1518" t="s">
        <v>493</v>
      </c>
      <c r="B132" s="1519"/>
      <c r="C132" s="1519"/>
      <c r="D132" s="1519"/>
      <c r="E132" s="1519"/>
      <c r="F132" s="1519"/>
      <c r="G132" s="1519"/>
      <c r="H132" s="1519"/>
      <c r="I132" s="1519"/>
      <c r="J132" s="1519"/>
      <c r="K132" s="1519"/>
      <c r="L132" s="1519"/>
      <c r="M132" s="1519"/>
      <c r="N132" s="1519"/>
      <c r="O132" s="1519"/>
      <c r="P132" s="1519"/>
      <c r="Q132" s="1519"/>
      <c r="R132" s="1519"/>
      <c r="S132" s="1519"/>
      <c r="T132" s="1520"/>
      <c r="U132" s="1520"/>
      <c r="V132" s="1519"/>
      <c r="W132" s="1519"/>
      <c r="X132" s="1519"/>
      <c r="Y132" s="1519"/>
      <c r="Z132" s="1519"/>
      <c r="AA132" s="1519"/>
      <c r="AB132" s="1519"/>
      <c r="AC132" s="1519"/>
      <c r="AD132" s="1519"/>
      <c r="AE132" s="1519"/>
      <c r="AF132" s="1519"/>
      <c r="AG132" s="1519"/>
      <c r="AH132" s="1521"/>
    </row>
    <row r="133" spans="1:38" ht="12.95" customHeight="1" x14ac:dyDescent="0.25">
      <c r="A133" s="574" t="s">
        <v>467</v>
      </c>
      <c r="B133" s="93" t="s">
        <v>211</v>
      </c>
      <c r="C133" s="1109" t="s">
        <v>444</v>
      </c>
      <c r="D133" s="97">
        <v>1</v>
      </c>
      <c r="E133" s="97">
        <v>1</v>
      </c>
      <c r="F133" s="97">
        <v>1</v>
      </c>
      <c r="G133" s="97">
        <v>1</v>
      </c>
      <c r="H133" s="97">
        <f>ROUND((F133/G133),2)</f>
        <v>1</v>
      </c>
      <c r="I133" s="490">
        <v>0</v>
      </c>
      <c r="J133" s="490">
        <v>30</v>
      </c>
      <c r="K133" s="491">
        <v>60</v>
      </c>
      <c r="L133" s="98">
        <v>0.01</v>
      </c>
      <c r="M133" s="98">
        <v>0.01</v>
      </c>
      <c r="N133" s="97">
        <v>4</v>
      </c>
      <c r="O133" s="97">
        <v>6</v>
      </c>
      <c r="P133" s="97">
        <v>20</v>
      </c>
      <c r="Q133" s="97">
        <v>1</v>
      </c>
      <c r="R133" s="96">
        <v>1</v>
      </c>
      <c r="S133" s="97">
        <v>2</v>
      </c>
      <c r="T133" s="96">
        <v>4</v>
      </c>
      <c r="U133" s="96">
        <v>4</v>
      </c>
      <c r="V133" s="108">
        <f>ROUND((R133*N133+T133*L133+Q133*D133),4)</f>
        <v>5.04</v>
      </c>
      <c r="W133" s="109">
        <f>ROUND((S133*O133+U133*L133+Q133*D133),4)</f>
        <v>13.04</v>
      </c>
      <c r="X133" s="109">
        <f>ROUND((S133*P133+U133*L133+Q133*D133),4)</f>
        <v>41.04</v>
      </c>
      <c r="Y133" s="109">
        <f>ROUND((T133*M133+Q133*E133),4)</f>
        <v>1.04</v>
      </c>
      <c r="Z133" s="109">
        <f>ROUND((U133*M133+Q133*E133),4)</f>
        <v>1.04</v>
      </c>
      <c r="AA133" s="109">
        <f>ROUND((U133*M133+Q133*E133),4)</f>
        <v>1.04</v>
      </c>
      <c r="AB133" s="109">
        <f>ROUND((H133*(V133+Y133)*G133*I133/1000000),4)</f>
        <v>0</v>
      </c>
      <c r="AC133" s="109">
        <f>ROUND((H133*(W133+Z133)*G133*J133/1000000),4)</f>
        <v>4.0000000000000002E-4</v>
      </c>
      <c r="AD133" s="109">
        <f>ROUND((H133*(X133+AA133)*G133*K133/1000000),4)</f>
        <v>2.5000000000000001E-3</v>
      </c>
      <c r="AE133" s="103" t="s">
        <v>48</v>
      </c>
      <c r="AF133" s="104" t="s">
        <v>49</v>
      </c>
      <c r="AG133" s="105">
        <f>ROUND(((X133*F133/3600)*0.8),4)</f>
        <v>9.1000000000000004E-3</v>
      </c>
      <c r="AH133" s="105">
        <f>ROUND(((AB133+AC133+AD133)*0.8),4)</f>
        <v>2.3E-3</v>
      </c>
    </row>
    <row r="134" spans="1:38" ht="12.95" customHeight="1" x14ac:dyDescent="0.25">
      <c r="A134" s="575" t="s">
        <v>166</v>
      </c>
      <c r="B134" s="94" t="s">
        <v>212</v>
      </c>
      <c r="C134" s="1110"/>
      <c r="D134" s="94"/>
      <c r="E134" s="94"/>
      <c r="F134" s="94"/>
      <c r="G134" s="94"/>
      <c r="H134" s="94"/>
      <c r="I134" s="94"/>
      <c r="J134" s="94"/>
      <c r="K134" s="94"/>
      <c r="L134" s="99"/>
      <c r="M134" s="99"/>
      <c r="N134" s="94"/>
      <c r="O134" s="94"/>
      <c r="P134" s="94"/>
      <c r="Q134" s="101"/>
      <c r="R134" s="101"/>
      <c r="S134" s="102"/>
      <c r="T134" s="101"/>
      <c r="U134" s="101"/>
      <c r="V134" s="110"/>
      <c r="W134" s="111"/>
      <c r="X134" s="111"/>
      <c r="Y134" s="111"/>
      <c r="Z134" s="111"/>
      <c r="AA134" s="111"/>
      <c r="AB134" s="111"/>
      <c r="AC134" s="111"/>
      <c r="AD134" s="111"/>
      <c r="AE134" s="103" t="s">
        <v>51</v>
      </c>
      <c r="AF134" s="104" t="s">
        <v>52</v>
      </c>
      <c r="AG134" s="105">
        <f>ROUND(((X133*F133/3600)*0.13),4)</f>
        <v>1.5E-3</v>
      </c>
      <c r="AH134" s="105">
        <f>ROUND(((AB133+AC133+AD133)*0.13),4)</f>
        <v>4.0000000000000002E-4</v>
      </c>
    </row>
    <row r="135" spans="1:38" ht="12.95" customHeight="1" x14ac:dyDescent="0.25">
      <c r="A135" s="576"/>
      <c r="B135" s="95" t="s">
        <v>491</v>
      </c>
      <c r="C135" s="95"/>
      <c r="D135" s="94"/>
      <c r="E135" s="94"/>
      <c r="F135" s="94"/>
      <c r="G135" s="94"/>
      <c r="H135" s="94"/>
      <c r="I135" s="94"/>
      <c r="J135" s="94"/>
      <c r="K135" s="94"/>
      <c r="L135" s="99"/>
      <c r="M135" s="99"/>
      <c r="N135" s="94"/>
      <c r="O135" s="94"/>
      <c r="P135" s="94"/>
      <c r="Q135" s="105">
        <v>0.1</v>
      </c>
      <c r="R135" s="106">
        <v>0.113</v>
      </c>
      <c r="S135" s="107">
        <v>0.13600000000000001</v>
      </c>
      <c r="T135" s="106">
        <v>0.54</v>
      </c>
      <c r="U135" s="106">
        <v>0.67</v>
      </c>
      <c r="V135" s="108">
        <f>ROUND((R135*N133+T135*L133+Q135*D133),4)</f>
        <v>0.55740000000000001</v>
      </c>
      <c r="W135" s="109">
        <f>ROUND((S135*0.9*O133+U135*0.9*L133+Q135*D133),4)</f>
        <v>0.84040000000000004</v>
      </c>
      <c r="X135" s="109">
        <f>ROUND((S135*P133+U135*L133+Q135*D133),4)</f>
        <v>2.8267000000000002</v>
      </c>
      <c r="Y135" s="109">
        <f>ROUND((T135*M133+Q135*E133),4)</f>
        <v>0.10539999999999999</v>
      </c>
      <c r="Z135" s="109">
        <f>ROUND((U135*0.9*M133+Q135*E133),4)</f>
        <v>0.106</v>
      </c>
      <c r="AA135" s="109">
        <f>ROUND((U135*M133+Q135*E133),4)</f>
        <v>0.1067</v>
      </c>
      <c r="AB135" s="109">
        <f>ROUND((H133*(V135+Y135)*G133*I133/1000000),5)</f>
        <v>0</v>
      </c>
      <c r="AC135" s="109">
        <f>ROUND((H133*(W135+Z135)*G133*J133/1000000),5)</f>
        <v>3.0000000000000001E-5</v>
      </c>
      <c r="AD135" s="109">
        <f>ROUND((H133*(X135+AA135)*G133*K133/1000000),5)</f>
        <v>1.8000000000000001E-4</v>
      </c>
      <c r="AE135" s="103" t="s">
        <v>56</v>
      </c>
      <c r="AF135" s="104" t="s">
        <v>57</v>
      </c>
      <c r="AG135" s="105">
        <f>ROUND(((X135*F133/3600)),4)</f>
        <v>8.0000000000000004E-4</v>
      </c>
      <c r="AH135" s="105">
        <f>AB135+AC135+AD135</f>
        <v>2.1000000000000001E-4</v>
      </c>
    </row>
    <row r="136" spans="1:38" ht="12.95" customHeight="1" x14ac:dyDescent="0.25">
      <c r="A136" s="576"/>
      <c r="B136" s="166"/>
      <c r="C136" s="94"/>
      <c r="D136" s="94"/>
      <c r="E136" s="94"/>
      <c r="F136" s="94"/>
      <c r="G136" s="94"/>
      <c r="H136" s="94"/>
      <c r="I136" s="94"/>
      <c r="J136" s="94"/>
      <c r="K136" s="94"/>
      <c r="L136" s="99"/>
      <c r="M136" s="99"/>
      <c r="N136" s="94"/>
      <c r="O136" s="94"/>
      <c r="P136" s="94"/>
      <c r="Q136" s="105">
        <v>0.45</v>
      </c>
      <c r="R136" s="106">
        <v>0.4</v>
      </c>
      <c r="S136" s="105">
        <v>1.1000000000000001</v>
      </c>
      <c r="T136" s="106">
        <v>1</v>
      </c>
      <c r="U136" s="106">
        <v>1.2</v>
      </c>
      <c r="V136" s="108">
        <f>ROUND((R136*N133+T136*L133+Q136*D133),4)</f>
        <v>2.06</v>
      </c>
      <c r="W136" s="109">
        <f>ROUND((S136*0.9*O133+U136*0.9*L133+Q136*D133),4)</f>
        <v>6.4008000000000003</v>
      </c>
      <c r="X136" s="109">
        <f>ROUND((S136*P133+U136*L133+Q136*D133),4)</f>
        <v>22.462</v>
      </c>
      <c r="Y136" s="109">
        <f>ROUND((T136*M133+Q136*E133),4)</f>
        <v>0.46</v>
      </c>
      <c r="Z136" s="109">
        <f>ROUND((U136*0.9*M133+Q136*E133),4)</f>
        <v>0.46079999999999999</v>
      </c>
      <c r="AA136" s="109">
        <f>ROUND((U136*M133+Q136*E133),4)</f>
        <v>0.46200000000000002</v>
      </c>
      <c r="AB136" s="109">
        <f>ROUND((H133*(V136+Y136)*G133*I133/1000000),4)</f>
        <v>0</v>
      </c>
      <c r="AC136" s="109">
        <f>ROUND((H133*(W136+Z136)*G133*J133/1000000),4)</f>
        <v>2.0000000000000001E-4</v>
      </c>
      <c r="AD136" s="109">
        <f>ROUND((H133*(X136+AA136)*G133*K133/1000000),4)</f>
        <v>1.4E-3</v>
      </c>
      <c r="AE136" s="103" t="s">
        <v>177</v>
      </c>
      <c r="AF136" s="104" t="s">
        <v>178</v>
      </c>
      <c r="AG136" s="105">
        <f>ROUND(((X136*F133/3600)),4)</f>
        <v>6.1999999999999998E-3</v>
      </c>
      <c r="AH136" s="105">
        <f>AB136+AC136+AD136</f>
        <v>1.6000000000000001E-3</v>
      </c>
    </row>
    <row r="137" spans="1:38" ht="12.95" customHeight="1" x14ac:dyDescent="0.25">
      <c r="A137" s="577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9"/>
      <c r="M137" s="99"/>
      <c r="N137" s="94"/>
      <c r="O137" s="94"/>
      <c r="P137" s="94"/>
      <c r="Q137" s="105">
        <v>2.9</v>
      </c>
      <c r="R137" s="106">
        <v>3</v>
      </c>
      <c r="S137" s="105">
        <v>8.1999999999999993</v>
      </c>
      <c r="T137" s="106">
        <v>6.1</v>
      </c>
      <c r="U137" s="106">
        <v>7.4</v>
      </c>
      <c r="V137" s="167">
        <f>ROUND((R137*N133+T137*L133+Q137*D133),4)</f>
        <v>14.961</v>
      </c>
      <c r="W137" s="168">
        <f>ROUND((S137*0.9*O133+U137*0.9*L133+Q137*D133),4)</f>
        <v>47.246600000000001</v>
      </c>
      <c r="X137" s="168">
        <f>ROUND((S137*P133+U137*L133+Q137*D133),4)</f>
        <v>166.97399999999999</v>
      </c>
      <c r="Y137" s="168">
        <f>ROUND((T137*M133+Q137*E133),4)</f>
        <v>2.9609999999999999</v>
      </c>
      <c r="Z137" s="168">
        <f>ROUND((U137*0.9*M133+Q137*E133),4)</f>
        <v>2.9666000000000001</v>
      </c>
      <c r="AA137" s="168">
        <f>ROUND((U137*M133+Q137*E133),4)</f>
        <v>2.9740000000000002</v>
      </c>
      <c r="AB137" s="168">
        <f>ROUND((H133*(V137+Y137)*G133*I133/1000000),4)</f>
        <v>0</v>
      </c>
      <c r="AC137" s="168">
        <f>ROUND((H133*(W137+Z137)*G133*J133/1000000),4)</f>
        <v>1.5E-3</v>
      </c>
      <c r="AD137" s="168">
        <f>ROUND((H133*(X137+AA137)*G133*K133/1000000),4)</f>
        <v>1.0200000000000001E-2</v>
      </c>
      <c r="AE137" s="103" t="s">
        <v>65</v>
      </c>
      <c r="AF137" s="104" t="s">
        <v>66</v>
      </c>
      <c r="AG137" s="105">
        <f>ROUND(((X137*F133/3600)),4)</f>
        <v>4.6399999999999997E-2</v>
      </c>
      <c r="AH137" s="105">
        <f>AB137+AC137+AD137</f>
        <v>1.17E-2</v>
      </c>
    </row>
    <row r="138" spans="1:38" ht="12.95" customHeight="1" x14ac:dyDescent="0.25">
      <c r="A138" s="58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2"/>
      <c r="M138" s="102"/>
      <c r="N138" s="101"/>
      <c r="O138" s="101"/>
      <c r="P138" s="101"/>
      <c r="Q138" s="105">
        <v>0.04</v>
      </c>
      <c r="R138" s="106">
        <v>0.04</v>
      </c>
      <c r="S138" s="105">
        <v>0.16</v>
      </c>
      <c r="T138" s="106">
        <v>0.3</v>
      </c>
      <c r="U138" s="106">
        <v>0.4</v>
      </c>
      <c r="V138" s="167">
        <f>ROUND((R138*N133+T138*L133+Q138*D133),4)</f>
        <v>0.20300000000000001</v>
      </c>
      <c r="W138" s="168">
        <f>ROUND((S138*0.9*O133+U138*0.9*L133+Q138*D133),4)</f>
        <v>0.90759999999999996</v>
      </c>
      <c r="X138" s="168">
        <f>ROUND((S138*P133+U138*L133+Q138*D133),4)</f>
        <v>3.2440000000000002</v>
      </c>
      <c r="Y138" s="168">
        <f>ROUND((T138*M133+Q138*E133),4)</f>
        <v>4.2999999999999997E-2</v>
      </c>
      <c r="Z138" s="168">
        <f>ROUND((U138*0.9*M133+Q138*E133),4)</f>
        <v>4.36E-2</v>
      </c>
      <c r="AA138" s="168">
        <f>ROUND((U138*M133+Q138*E133),4)</f>
        <v>4.3999999999999997E-2</v>
      </c>
      <c r="AB138" s="168">
        <f>ROUND((H133*(V138+Y138)*G133*I133/1000000),5)</f>
        <v>0</v>
      </c>
      <c r="AC138" s="168">
        <f>ROUND((H133*(W138+Z138)*G133*J133/1000000),5)</f>
        <v>3.0000000000000001E-5</v>
      </c>
      <c r="AD138" s="168">
        <f>ROUND((H133*(X138+AA138)*G133*K133/1000000),4)</f>
        <v>2.0000000000000001E-4</v>
      </c>
      <c r="AE138" s="103" t="s">
        <v>213</v>
      </c>
      <c r="AF138" s="104" t="s">
        <v>62</v>
      </c>
      <c r="AG138" s="105">
        <f>ROUND(((X138*F133/3600)),4)</f>
        <v>8.9999999999999998E-4</v>
      </c>
      <c r="AH138" s="105">
        <f>AB138+AC138+AD138</f>
        <v>2.3000000000000001E-4</v>
      </c>
      <c r="AI138" s="61">
        <f>SUM(AG133:AG138)</f>
        <v>6.4899999999999999E-2</v>
      </c>
      <c r="AJ138" s="61">
        <f>SUM(AH133:AH138)</f>
        <v>1.6440000000000003E-2</v>
      </c>
      <c r="AK138" s="61">
        <f>AJ138/AI138*1000000/3600</f>
        <v>70.364663585002575</v>
      </c>
    </row>
    <row r="139" spans="1:38" ht="12.95" customHeight="1" x14ac:dyDescent="0.25">
      <c r="A139" s="1518" t="s">
        <v>494</v>
      </c>
      <c r="B139" s="1519"/>
      <c r="C139" s="1519"/>
      <c r="D139" s="1519"/>
      <c r="E139" s="1519"/>
      <c r="F139" s="1519"/>
      <c r="G139" s="1519"/>
      <c r="H139" s="1519"/>
      <c r="I139" s="1519"/>
      <c r="J139" s="1519"/>
      <c r="K139" s="1519"/>
      <c r="L139" s="1519"/>
      <c r="M139" s="1519"/>
      <c r="N139" s="1519"/>
      <c r="O139" s="1519"/>
      <c r="P139" s="1519"/>
      <c r="Q139" s="1519"/>
      <c r="R139" s="1519"/>
      <c r="S139" s="1519"/>
      <c r="T139" s="1520"/>
      <c r="U139" s="1520"/>
      <c r="V139" s="1519"/>
      <c r="W139" s="1519"/>
      <c r="X139" s="1519"/>
      <c r="Y139" s="1519"/>
      <c r="Z139" s="1519"/>
      <c r="AA139" s="1519"/>
      <c r="AB139" s="1519"/>
      <c r="AC139" s="1519"/>
      <c r="AD139" s="1519"/>
      <c r="AE139" s="1519"/>
      <c r="AF139" s="1519"/>
      <c r="AG139" s="1519"/>
      <c r="AH139" s="1521"/>
    </row>
    <row r="140" spans="1:38" ht="12.95" customHeight="1" x14ac:dyDescent="0.25">
      <c r="A140" s="574" t="s">
        <v>470</v>
      </c>
      <c r="B140" s="93" t="s">
        <v>211</v>
      </c>
      <c r="C140" s="1109" t="s">
        <v>444</v>
      </c>
      <c r="D140" s="97">
        <v>1</v>
      </c>
      <c r="E140" s="97">
        <v>1</v>
      </c>
      <c r="F140" s="97">
        <v>1</v>
      </c>
      <c r="G140" s="97">
        <v>1</v>
      </c>
      <c r="H140" s="97">
        <f>ROUND((F140/G140),2)</f>
        <v>1</v>
      </c>
      <c r="I140" s="490">
        <v>0</v>
      </c>
      <c r="J140" s="490">
        <v>30</v>
      </c>
      <c r="K140" s="491">
        <v>60</v>
      </c>
      <c r="L140" s="98">
        <v>0.01</v>
      </c>
      <c r="M140" s="98">
        <v>0.01</v>
      </c>
      <c r="N140" s="97">
        <v>4</v>
      </c>
      <c r="O140" s="97">
        <v>6</v>
      </c>
      <c r="P140" s="97">
        <v>20</v>
      </c>
      <c r="Q140" s="97">
        <v>1</v>
      </c>
      <c r="R140" s="96">
        <v>1</v>
      </c>
      <c r="S140" s="97">
        <v>2</v>
      </c>
      <c r="T140" s="96">
        <v>4</v>
      </c>
      <c r="U140" s="96">
        <v>4</v>
      </c>
      <c r="V140" s="108">
        <f>ROUND((R140*N140+T140*L140+Q140*D140),4)</f>
        <v>5.04</v>
      </c>
      <c r="W140" s="109">
        <f>ROUND((S140*O140+U140*L140+Q140*D140),4)</f>
        <v>13.04</v>
      </c>
      <c r="X140" s="109">
        <f>ROUND((S140*P140+U140*L140+Q140*D140),4)</f>
        <v>41.04</v>
      </c>
      <c r="Y140" s="109">
        <f>ROUND((T140*M140+Q140*E140),4)</f>
        <v>1.04</v>
      </c>
      <c r="Z140" s="109">
        <f>ROUND((U140*M140+Q140*E140),4)</f>
        <v>1.04</v>
      </c>
      <c r="AA140" s="109">
        <f>ROUND((U140*M140+Q140*E140),4)</f>
        <v>1.04</v>
      </c>
      <c r="AB140" s="109">
        <f>ROUND((H140*(V140+Y140)*G140*I140/1000000),4)</f>
        <v>0</v>
      </c>
      <c r="AC140" s="109">
        <f>ROUND((H140*(W140+Z140)*G140*J140/1000000),4)</f>
        <v>4.0000000000000002E-4</v>
      </c>
      <c r="AD140" s="109">
        <f>ROUND((H140*(X140+AA140)*G140*K140/1000000),4)</f>
        <v>2.5000000000000001E-3</v>
      </c>
      <c r="AE140" s="103" t="s">
        <v>48</v>
      </c>
      <c r="AF140" s="104" t="s">
        <v>49</v>
      </c>
      <c r="AG140" s="105">
        <f>ROUND(((X140*F140/3600)*0.8),4)</f>
        <v>9.1000000000000004E-3</v>
      </c>
      <c r="AH140" s="105">
        <f>ROUND(((AB140+AC140+AD140)*0.8),4)</f>
        <v>2.3E-3</v>
      </c>
    </row>
    <row r="141" spans="1:38" ht="12.95" customHeight="1" x14ac:dyDescent="0.25">
      <c r="A141" s="575" t="s">
        <v>166</v>
      </c>
      <c r="B141" s="94" t="s">
        <v>212</v>
      </c>
      <c r="C141" s="1110"/>
      <c r="D141" s="94"/>
      <c r="E141" s="94"/>
      <c r="F141" s="94"/>
      <c r="G141" s="94"/>
      <c r="H141" s="94"/>
      <c r="I141" s="94"/>
      <c r="J141" s="94"/>
      <c r="K141" s="94"/>
      <c r="L141" s="99"/>
      <c r="M141" s="99"/>
      <c r="N141" s="94"/>
      <c r="O141" s="94"/>
      <c r="P141" s="94"/>
      <c r="Q141" s="101"/>
      <c r="R141" s="101"/>
      <c r="S141" s="102"/>
      <c r="T141" s="101"/>
      <c r="U141" s="101"/>
      <c r="V141" s="110"/>
      <c r="W141" s="111"/>
      <c r="X141" s="111"/>
      <c r="Y141" s="111"/>
      <c r="Z141" s="111"/>
      <c r="AA141" s="111"/>
      <c r="AB141" s="111"/>
      <c r="AC141" s="111"/>
      <c r="AD141" s="111"/>
      <c r="AE141" s="103" t="s">
        <v>51</v>
      </c>
      <c r="AF141" s="104" t="s">
        <v>52</v>
      </c>
      <c r="AG141" s="105">
        <f>ROUND(((X140*F140/3600)*0.13),4)</f>
        <v>1.5E-3</v>
      </c>
      <c r="AH141" s="105">
        <f>ROUND(((AB140+AC140+AD140)*0.13),4)</f>
        <v>4.0000000000000002E-4</v>
      </c>
    </row>
    <row r="142" spans="1:38" ht="12.95" customHeight="1" x14ac:dyDescent="0.25">
      <c r="A142" s="576"/>
      <c r="B142" s="95" t="s">
        <v>491</v>
      </c>
      <c r="C142" s="95"/>
      <c r="D142" s="94"/>
      <c r="E142" s="94"/>
      <c r="F142" s="94"/>
      <c r="G142" s="94"/>
      <c r="H142" s="94"/>
      <c r="I142" s="94"/>
      <c r="J142" s="94"/>
      <c r="K142" s="94"/>
      <c r="L142" s="99"/>
      <c r="M142" s="99"/>
      <c r="N142" s="94"/>
      <c r="O142" s="94"/>
      <c r="P142" s="94"/>
      <c r="Q142" s="105">
        <v>0.1</v>
      </c>
      <c r="R142" s="106">
        <v>0.113</v>
      </c>
      <c r="S142" s="107">
        <v>0.13600000000000001</v>
      </c>
      <c r="T142" s="106">
        <v>0.54</v>
      </c>
      <c r="U142" s="106">
        <v>0.67</v>
      </c>
      <c r="V142" s="108">
        <f>ROUND((R142*N140+T142*L140+Q142*D140),4)</f>
        <v>0.55740000000000001</v>
      </c>
      <c r="W142" s="109">
        <f>ROUND((S142*0.9*O140+U142*0.9*L140+Q142*D140),4)</f>
        <v>0.84040000000000004</v>
      </c>
      <c r="X142" s="109">
        <f>ROUND((S142*P140+U142*L140+Q142*D140),4)</f>
        <v>2.8267000000000002</v>
      </c>
      <c r="Y142" s="109">
        <f>ROUND((T142*M140+Q142*E140),4)</f>
        <v>0.10539999999999999</v>
      </c>
      <c r="Z142" s="109">
        <f>ROUND((U142*0.9*M140+Q142*E140),4)</f>
        <v>0.106</v>
      </c>
      <c r="AA142" s="109">
        <f>ROUND((U142*M140+Q142*E140),4)</f>
        <v>0.1067</v>
      </c>
      <c r="AB142" s="109">
        <f>ROUND((H140*(V142+Y142)*G140*I140/1000000),5)</f>
        <v>0</v>
      </c>
      <c r="AC142" s="109">
        <f>ROUND((H140*(W142+Z142)*G140*J140/1000000),5)</f>
        <v>3.0000000000000001E-5</v>
      </c>
      <c r="AD142" s="109">
        <f>ROUND((H140*(X142+AA142)*G140*K140/1000000),5)</f>
        <v>1.8000000000000001E-4</v>
      </c>
      <c r="AE142" s="103" t="s">
        <v>56</v>
      </c>
      <c r="AF142" s="104" t="s">
        <v>57</v>
      </c>
      <c r="AG142" s="105">
        <f>ROUND(((X142*F140/3600)),4)</f>
        <v>8.0000000000000004E-4</v>
      </c>
      <c r="AH142" s="105">
        <f>AB142+AC142+AD142</f>
        <v>2.1000000000000001E-4</v>
      </c>
    </row>
    <row r="143" spans="1:38" ht="12.95" customHeight="1" x14ac:dyDescent="0.25">
      <c r="A143" s="576"/>
      <c r="B143" s="166"/>
      <c r="C143" s="94"/>
      <c r="D143" s="94"/>
      <c r="E143" s="94"/>
      <c r="F143" s="94"/>
      <c r="G143" s="94"/>
      <c r="H143" s="94"/>
      <c r="I143" s="94"/>
      <c r="J143" s="94"/>
      <c r="K143" s="94"/>
      <c r="L143" s="99"/>
      <c r="M143" s="99"/>
      <c r="N143" s="94"/>
      <c r="O143" s="94"/>
      <c r="P143" s="94"/>
      <c r="Q143" s="105">
        <v>0.45</v>
      </c>
      <c r="R143" s="106">
        <v>0.4</v>
      </c>
      <c r="S143" s="105">
        <v>1.1000000000000001</v>
      </c>
      <c r="T143" s="106">
        <v>1</v>
      </c>
      <c r="U143" s="106">
        <v>1.2</v>
      </c>
      <c r="V143" s="108">
        <f>ROUND((R143*N140+T143*L140+Q143*D140),4)</f>
        <v>2.06</v>
      </c>
      <c r="W143" s="109">
        <f>ROUND((S143*0.9*O140+U143*0.9*L140+Q143*D140),4)</f>
        <v>6.4008000000000003</v>
      </c>
      <c r="X143" s="109">
        <f>ROUND((S143*P140+U143*L140+Q143*D140),4)</f>
        <v>22.462</v>
      </c>
      <c r="Y143" s="109">
        <f>ROUND((T143*M140+Q143*E140),4)</f>
        <v>0.46</v>
      </c>
      <c r="Z143" s="109">
        <f>ROUND((U143*0.9*M140+Q143*E140),4)</f>
        <v>0.46079999999999999</v>
      </c>
      <c r="AA143" s="109">
        <f>ROUND((U143*M140+Q143*E140),4)</f>
        <v>0.46200000000000002</v>
      </c>
      <c r="AB143" s="109">
        <f>ROUND((H140*(V143+Y143)*G140*I140/1000000),4)</f>
        <v>0</v>
      </c>
      <c r="AC143" s="109">
        <f>ROUND((H140*(W143+Z143)*G140*J140/1000000),4)</f>
        <v>2.0000000000000001E-4</v>
      </c>
      <c r="AD143" s="109">
        <f>ROUND((H140*(X143+AA143)*G140*K140/1000000),4)</f>
        <v>1.4E-3</v>
      </c>
      <c r="AE143" s="103" t="s">
        <v>177</v>
      </c>
      <c r="AF143" s="104" t="s">
        <v>178</v>
      </c>
      <c r="AG143" s="105">
        <f>ROUND(((X143*F140/3600)),4)</f>
        <v>6.1999999999999998E-3</v>
      </c>
      <c r="AH143" s="105">
        <f>AB143+AC143+AD143</f>
        <v>1.6000000000000001E-3</v>
      </c>
    </row>
    <row r="144" spans="1:38" ht="12.95" customHeight="1" x14ac:dyDescent="0.25">
      <c r="A144" s="577"/>
      <c r="B144" s="94"/>
      <c r="C144" s="94"/>
      <c r="D144" s="94"/>
      <c r="E144" s="94"/>
      <c r="F144" s="94"/>
      <c r="G144" s="94"/>
      <c r="H144" s="94"/>
      <c r="I144" s="94"/>
      <c r="J144" s="94"/>
      <c r="K144" s="94"/>
      <c r="L144" s="99"/>
      <c r="M144" s="99"/>
      <c r="N144" s="94"/>
      <c r="O144" s="94"/>
      <c r="P144" s="94"/>
      <c r="Q144" s="105">
        <v>2.9</v>
      </c>
      <c r="R144" s="106">
        <v>3</v>
      </c>
      <c r="S144" s="105">
        <v>8.1999999999999993</v>
      </c>
      <c r="T144" s="106">
        <v>6.1</v>
      </c>
      <c r="U144" s="106">
        <v>7.4</v>
      </c>
      <c r="V144" s="167">
        <f>ROUND((R144*N140+T144*L140+Q144*D140),4)</f>
        <v>14.961</v>
      </c>
      <c r="W144" s="168">
        <f>ROUND((S144*0.9*O140+U144*0.9*L140+Q144*D140),4)</f>
        <v>47.246600000000001</v>
      </c>
      <c r="X144" s="168">
        <f>ROUND((S144*P140+U144*L140+Q144*D140),4)</f>
        <v>166.97399999999999</v>
      </c>
      <c r="Y144" s="168">
        <f>ROUND((T144*M140+Q144*E140),4)</f>
        <v>2.9609999999999999</v>
      </c>
      <c r="Z144" s="168">
        <f>ROUND((U144*0.9*M140+Q144*E140),4)</f>
        <v>2.9666000000000001</v>
      </c>
      <c r="AA144" s="168">
        <f>ROUND((U144*M140+Q144*E140),4)</f>
        <v>2.9740000000000002</v>
      </c>
      <c r="AB144" s="168">
        <f>ROUND((H140*(V144+Y144)*G140*I140/1000000),4)</f>
        <v>0</v>
      </c>
      <c r="AC144" s="168">
        <f>ROUND((H140*(W144+Z144)*G140*J140/1000000),4)</f>
        <v>1.5E-3</v>
      </c>
      <c r="AD144" s="168">
        <f>ROUND((H140*(X144+AA144)*G140*K140/1000000),4)</f>
        <v>1.0200000000000001E-2</v>
      </c>
      <c r="AE144" s="103" t="s">
        <v>65</v>
      </c>
      <c r="AF144" s="104" t="s">
        <v>66</v>
      </c>
      <c r="AG144" s="105">
        <f>ROUND(((X144*F140/3600)),4)</f>
        <v>4.6399999999999997E-2</v>
      </c>
      <c r="AH144" s="105">
        <f>AB144+AC144+AD144</f>
        <v>1.17E-2</v>
      </c>
    </row>
    <row r="145" spans="1:36" ht="12.95" customHeight="1" x14ac:dyDescent="0.25">
      <c r="A145" s="58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2"/>
      <c r="M145" s="102"/>
      <c r="N145" s="101"/>
      <c r="O145" s="101"/>
      <c r="P145" s="101"/>
      <c r="Q145" s="105">
        <v>0.04</v>
      </c>
      <c r="R145" s="106">
        <v>0.04</v>
      </c>
      <c r="S145" s="105">
        <v>0.16</v>
      </c>
      <c r="T145" s="106">
        <v>0.3</v>
      </c>
      <c r="U145" s="106">
        <v>0.4</v>
      </c>
      <c r="V145" s="167">
        <f>ROUND((R145*N140+T145*L140+Q145*D140),4)</f>
        <v>0.20300000000000001</v>
      </c>
      <c r="W145" s="168">
        <f>ROUND((S145*0.9*O140+U145*0.9*L140+Q145*D140),4)</f>
        <v>0.90759999999999996</v>
      </c>
      <c r="X145" s="168">
        <f>ROUND((S145*P140+U145*L140+Q145*D140),4)</f>
        <v>3.2440000000000002</v>
      </c>
      <c r="Y145" s="168">
        <f>ROUND((T145*M140+Q145*E140),4)</f>
        <v>4.2999999999999997E-2</v>
      </c>
      <c r="Z145" s="168">
        <f>ROUND((U145*0.9*M140+Q145*E140),4)</f>
        <v>4.36E-2</v>
      </c>
      <c r="AA145" s="168">
        <f>ROUND((U145*M140+Q145*E140),4)</f>
        <v>4.3999999999999997E-2</v>
      </c>
      <c r="AB145" s="168">
        <f>ROUND((H140*(V145+Y145)*G140*I140/1000000),5)</f>
        <v>0</v>
      </c>
      <c r="AC145" s="168">
        <f>ROUND((H140*(W145+Z145)*G140*J140/1000000),5)</f>
        <v>3.0000000000000001E-5</v>
      </c>
      <c r="AD145" s="168">
        <f>ROUND((H140*(X145+AA145)*G140*K140/1000000),4)</f>
        <v>2.0000000000000001E-4</v>
      </c>
      <c r="AE145" s="103" t="s">
        <v>213</v>
      </c>
      <c r="AF145" s="104" t="s">
        <v>62</v>
      </c>
      <c r="AG145" s="105">
        <f>ROUND(((X145*F140/3600)),4)</f>
        <v>8.9999999999999998E-4</v>
      </c>
      <c r="AH145" s="105">
        <f>AB145+AC145+AD145</f>
        <v>2.3000000000000001E-4</v>
      </c>
      <c r="AI145" s="61">
        <f>SUM(AG140:AG145)</f>
        <v>6.4899999999999999E-2</v>
      </c>
      <c r="AJ145" s="61">
        <f>SUM(AH140:AH145)</f>
        <v>1.6440000000000003E-2</v>
      </c>
    </row>
    <row r="146" spans="1:36" ht="12.95" customHeight="1" x14ac:dyDescent="0.25">
      <c r="A146" s="1518" t="s">
        <v>495</v>
      </c>
      <c r="B146" s="1519"/>
      <c r="C146" s="1519"/>
      <c r="D146" s="1519"/>
      <c r="E146" s="1519"/>
      <c r="F146" s="1519"/>
      <c r="G146" s="1519"/>
      <c r="H146" s="1519"/>
      <c r="I146" s="1519"/>
      <c r="J146" s="1519"/>
      <c r="K146" s="1519"/>
      <c r="L146" s="1519"/>
      <c r="M146" s="1519"/>
      <c r="N146" s="1519"/>
      <c r="O146" s="1519"/>
      <c r="P146" s="1519"/>
      <c r="Q146" s="1519"/>
      <c r="R146" s="1519"/>
      <c r="S146" s="1519"/>
      <c r="T146" s="1520"/>
      <c r="U146" s="1520"/>
      <c r="V146" s="1519"/>
      <c r="W146" s="1519"/>
      <c r="X146" s="1519"/>
      <c r="Y146" s="1519"/>
      <c r="Z146" s="1519"/>
      <c r="AA146" s="1519"/>
      <c r="AB146" s="1519"/>
      <c r="AC146" s="1519"/>
      <c r="AD146" s="1519"/>
      <c r="AE146" s="1519"/>
      <c r="AF146" s="1519"/>
      <c r="AG146" s="1519"/>
      <c r="AH146" s="1521"/>
    </row>
    <row r="147" spans="1:36" ht="12.95" customHeight="1" x14ac:dyDescent="0.25">
      <c r="A147" s="574" t="s">
        <v>472</v>
      </c>
      <c r="B147" s="93" t="s">
        <v>211</v>
      </c>
      <c r="C147" s="1109" t="s">
        <v>444</v>
      </c>
      <c r="D147" s="97">
        <v>1</v>
      </c>
      <c r="E147" s="97">
        <v>1</v>
      </c>
      <c r="F147" s="97">
        <v>1</v>
      </c>
      <c r="G147" s="97">
        <v>1</v>
      </c>
      <c r="H147" s="97">
        <f>ROUND((F147/G147),2)</f>
        <v>1</v>
      </c>
      <c r="I147" s="490">
        <v>0</v>
      </c>
      <c r="J147" s="490">
        <v>30</v>
      </c>
      <c r="K147" s="491">
        <v>60</v>
      </c>
      <c r="L147" s="98">
        <v>0.01</v>
      </c>
      <c r="M147" s="98">
        <v>0.01</v>
      </c>
      <c r="N147" s="97">
        <v>4</v>
      </c>
      <c r="O147" s="97">
        <v>6</v>
      </c>
      <c r="P147" s="97">
        <v>20</v>
      </c>
      <c r="Q147" s="97">
        <v>1</v>
      </c>
      <c r="R147" s="96">
        <v>1</v>
      </c>
      <c r="S147" s="97">
        <v>2</v>
      </c>
      <c r="T147" s="96">
        <v>4</v>
      </c>
      <c r="U147" s="96">
        <v>4</v>
      </c>
      <c r="V147" s="108">
        <f>ROUND((R147*N147+T147*L147+Q147*D147),4)</f>
        <v>5.04</v>
      </c>
      <c r="W147" s="109">
        <f>ROUND((S147*O147+U147*L147+Q147*D147),4)</f>
        <v>13.04</v>
      </c>
      <c r="X147" s="109">
        <f>ROUND((S147*P147+U147*L147+Q147*D147),4)</f>
        <v>41.04</v>
      </c>
      <c r="Y147" s="109">
        <f>ROUND((T147*M147+Q147*E147),4)</f>
        <v>1.04</v>
      </c>
      <c r="Z147" s="109">
        <f>ROUND((U147*M147+Q147*E147),4)</f>
        <v>1.04</v>
      </c>
      <c r="AA147" s="109">
        <f>ROUND((U147*M147+Q147*E147),4)</f>
        <v>1.04</v>
      </c>
      <c r="AB147" s="109">
        <f>ROUND((H147*(V147+Y147)*G147*I147/1000000),4)</f>
        <v>0</v>
      </c>
      <c r="AC147" s="109">
        <f>ROUND((H147*(W147+Z147)*G147*J147/1000000),4)</f>
        <v>4.0000000000000002E-4</v>
      </c>
      <c r="AD147" s="109">
        <f>ROUND((H147*(X147+AA147)*G147*K147/1000000),4)</f>
        <v>2.5000000000000001E-3</v>
      </c>
      <c r="AE147" s="103" t="s">
        <v>48</v>
      </c>
      <c r="AF147" s="104" t="s">
        <v>49</v>
      </c>
      <c r="AG147" s="105">
        <f>ROUND(((X147*F147/3600)*0.8),4)</f>
        <v>9.1000000000000004E-3</v>
      </c>
      <c r="AH147" s="105">
        <f>ROUND(((AB147+AC147+AD147)*0.8),4)</f>
        <v>2.3E-3</v>
      </c>
    </row>
    <row r="148" spans="1:36" ht="12.95" customHeight="1" x14ac:dyDescent="0.25">
      <c r="A148" s="575" t="s">
        <v>166</v>
      </c>
      <c r="B148" s="94" t="s">
        <v>212</v>
      </c>
      <c r="C148" s="1110"/>
      <c r="D148" s="94"/>
      <c r="E148" s="94"/>
      <c r="F148" s="94"/>
      <c r="G148" s="94"/>
      <c r="H148" s="94"/>
      <c r="I148" s="94"/>
      <c r="J148" s="94"/>
      <c r="K148" s="94"/>
      <c r="L148" s="99"/>
      <c r="M148" s="99"/>
      <c r="N148" s="94"/>
      <c r="O148" s="94"/>
      <c r="P148" s="94"/>
      <c r="Q148" s="101"/>
      <c r="R148" s="101"/>
      <c r="S148" s="102"/>
      <c r="T148" s="101"/>
      <c r="U148" s="101"/>
      <c r="V148" s="110"/>
      <c r="W148" s="111"/>
      <c r="X148" s="111"/>
      <c r="Y148" s="111"/>
      <c r="Z148" s="111"/>
      <c r="AA148" s="111"/>
      <c r="AB148" s="111"/>
      <c r="AC148" s="111"/>
      <c r="AD148" s="111"/>
      <c r="AE148" s="103" t="s">
        <v>51</v>
      </c>
      <c r="AF148" s="104" t="s">
        <v>52</v>
      </c>
      <c r="AG148" s="105">
        <f>ROUND(((X147*F147/3600)*0.13),4)</f>
        <v>1.5E-3</v>
      </c>
      <c r="AH148" s="105">
        <f>ROUND(((AB147+AC147+AD147)*0.13),4)</f>
        <v>4.0000000000000002E-4</v>
      </c>
    </row>
    <row r="149" spans="1:36" ht="12.95" customHeight="1" x14ac:dyDescent="0.25">
      <c r="A149" s="576"/>
      <c r="B149" s="95" t="s">
        <v>491</v>
      </c>
      <c r="C149" s="95"/>
      <c r="D149" s="94"/>
      <c r="E149" s="94"/>
      <c r="F149" s="94"/>
      <c r="G149" s="94"/>
      <c r="H149" s="94"/>
      <c r="I149" s="94"/>
      <c r="J149" s="94"/>
      <c r="K149" s="94"/>
      <c r="L149" s="99"/>
      <c r="M149" s="99"/>
      <c r="N149" s="94"/>
      <c r="O149" s="94"/>
      <c r="P149" s="94"/>
      <c r="Q149" s="105">
        <v>0.1</v>
      </c>
      <c r="R149" s="106">
        <v>0.113</v>
      </c>
      <c r="S149" s="107">
        <v>0.13600000000000001</v>
      </c>
      <c r="T149" s="106">
        <v>0.54</v>
      </c>
      <c r="U149" s="106">
        <v>0.67</v>
      </c>
      <c r="V149" s="108">
        <f>ROUND((R149*N147+T149*L147+Q149*D147),4)</f>
        <v>0.55740000000000001</v>
      </c>
      <c r="W149" s="109">
        <f>ROUND((S149*0.9*O147+U149*0.9*L147+Q149*D147),4)</f>
        <v>0.84040000000000004</v>
      </c>
      <c r="X149" s="109">
        <f>ROUND((S149*P147+U149*L147+Q149*D147),4)</f>
        <v>2.8267000000000002</v>
      </c>
      <c r="Y149" s="109">
        <f>ROUND((T149*M147+Q149*E147),4)</f>
        <v>0.10539999999999999</v>
      </c>
      <c r="Z149" s="109">
        <f>ROUND((U149*0.9*M147+Q149*E147),4)</f>
        <v>0.106</v>
      </c>
      <c r="AA149" s="109">
        <f>ROUND((U149*M147+Q149*E147),4)</f>
        <v>0.1067</v>
      </c>
      <c r="AB149" s="109">
        <f>ROUND((H147*(V149+Y149)*G147*I147/1000000),5)</f>
        <v>0</v>
      </c>
      <c r="AC149" s="109">
        <f>ROUND((H147*(W149+Z149)*G147*J147/1000000),5)</f>
        <v>3.0000000000000001E-5</v>
      </c>
      <c r="AD149" s="109">
        <f>ROUND((H147*(X149+AA149)*G147*K147/1000000),5)</f>
        <v>1.8000000000000001E-4</v>
      </c>
      <c r="AE149" s="103" t="s">
        <v>56</v>
      </c>
      <c r="AF149" s="104" t="s">
        <v>57</v>
      </c>
      <c r="AG149" s="105">
        <f>ROUND(((X149*F147/3600)),4)</f>
        <v>8.0000000000000004E-4</v>
      </c>
      <c r="AH149" s="105">
        <f>AB149+AC149+AD149</f>
        <v>2.1000000000000001E-4</v>
      </c>
    </row>
    <row r="150" spans="1:36" ht="12.95" customHeight="1" x14ac:dyDescent="0.25">
      <c r="A150" s="576"/>
      <c r="B150" s="166"/>
      <c r="C150" s="94"/>
      <c r="D150" s="94"/>
      <c r="E150" s="94"/>
      <c r="F150" s="94"/>
      <c r="G150" s="94"/>
      <c r="H150" s="94"/>
      <c r="I150" s="94"/>
      <c r="J150" s="94"/>
      <c r="K150" s="94"/>
      <c r="L150" s="99"/>
      <c r="M150" s="99"/>
      <c r="N150" s="94"/>
      <c r="O150" s="94"/>
      <c r="P150" s="94"/>
      <c r="Q150" s="105">
        <v>0.45</v>
      </c>
      <c r="R150" s="106">
        <v>0.4</v>
      </c>
      <c r="S150" s="105">
        <v>1.1000000000000001</v>
      </c>
      <c r="T150" s="106">
        <v>1</v>
      </c>
      <c r="U150" s="106">
        <v>1.2</v>
      </c>
      <c r="V150" s="108">
        <f>ROUND((R150*N147+T150*L147+Q150*D147),4)</f>
        <v>2.06</v>
      </c>
      <c r="W150" s="109">
        <f>ROUND((S150*0.9*O147+U150*0.9*L147+Q150*D147),4)</f>
        <v>6.4008000000000003</v>
      </c>
      <c r="X150" s="109">
        <f>ROUND((S150*P147+U150*L147+Q150*D147),4)</f>
        <v>22.462</v>
      </c>
      <c r="Y150" s="109">
        <f>ROUND((T150*M147+Q150*E147),4)</f>
        <v>0.46</v>
      </c>
      <c r="Z150" s="109">
        <f>ROUND((U150*0.9*M147+Q150*E147),4)</f>
        <v>0.46079999999999999</v>
      </c>
      <c r="AA150" s="109">
        <f>ROUND((U150*M147+Q150*E147),4)</f>
        <v>0.46200000000000002</v>
      </c>
      <c r="AB150" s="109">
        <f>ROUND((H147*(V150+Y150)*G147*I147/1000000),4)</f>
        <v>0</v>
      </c>
      <c r="AC150" s="109">
        <f>ROUND((H147*(W150+Z150)*G147*J147/1000000),4)</f>
        <v>2.0000000000000001E-4</v>
      </c>
      <c r="AD150" s="109">
        <f>ROUND((H147*(X150+AA150)*G147*K147/1000000),4)</f>
        <v>1.4E-3</v>
      </c>
      <c r="AE150" s="103" t="s">
        <v>177</v>
      </c>
      <c r="AF150" s="104" t="s">
        <v>178</v>
      </c>
      <c r="AG150" s="105">
        <f>ROUND(((X150*F147/3600)),4)</f>
        <v>6.1999999999999998E-3</v>
      </c>
      <c r="AH150" s="105">
        <f>AB150+AC150+AD150</f>
        <v>1.6000000000000001E-3</v>
      </c>
    </row>
    <row r="151" spans="1:36" ht="12.95" customHeight="1" x14ac:dyDescent="0.25">
      <c r="A151" s="577"/>
      <c r="B151" s="94"/>
      <c r="C151" s="94"/>
      <c r="D151" s="94"/>
      <c r="E151" s="94"/>
      <c r="F151" s="94"/>
      <c r="G151" s="94"/>
      <c r="H151" s="94"/>
      <c r="I151" s="94"/>
      <c r="J151" s="94"/>
      <c r="K151" s="94"/>
      <c r="L151" s="99"/>
      <c r="M151" s="99"/>
      <c r="N151" s="94"/>
      <c r="O151" s="94"/>
      <c r="P151" s="94"/>
      <c r="Q151" s="105">
        <v>2.9</v>
      </c>
      <c r="R151" s="106">
        <v>3</v>
      </c>
      <c r="S151" s="105">
        <v>8.1999999999999993</v>
      </c>
      <c r="T151" s="106">
        <v>6.1</v>
      </c>
      <c r="U151" s="106">
        <v>7.4</v>
      </c>
      <c r="V151" s="167">
        <f>ROUND((R151*N147+T151*L147+Q151*D147),4)</f>
        <v>14.961</v>
      </c>
      <c r="W151" s="168">
        <f>ROUND((S151*0.9*O147+U151*0.9*L147+Q151*D147),4)</f>
        <v>47.246600000000001</v>
      </c>
      <c r="X151" s="168">
        <f>ROUND((S151*P147+U151*L147+Q151*D147),4)</f>
        <v>166.97399999999999</v>
      </c>
      <c r="Y151" s="168">
        <f>ROUND((T151*M147+Q151*E147),4)</f>
        <v>2.9609999999999999</v>
      </c>
      <c r="Z151" s="168">
        <f>ROUND((U151*0.9*M147+Q151*E147),4)</f>
        <v>2.9666000000000001</v>
      </c>
      <c r="AA151" s="168">
        <f>ROUND((U151*M147+Q151*E147),4)</f>
        <v>2.9740000000000002</v>
      </c>
      <c r="AB151" s="168">
        <f>ROUND((H147*(V151+Y151)*G147*I147/1000000),4)</f>
        <v>0</v>
      </c>
      <c r="AC151" s="168">
        <f>ROUND((H147*(W151+Z151)*G147*J147/1000000),4)</f>
        <v>1.5E-3</v>
      </c>
      <c r="AD151" s="168">
        <f>ROUND((H147*(X151+AA151)*G147*K147/1000000),4)</f>
        <v>1.0200000000000001E-2</v>
      </c>
      <c r="AE151" s="103" t="s">
        <v>65</v>
      </c>
      <c r="AF151" s="104" t="s">
        <v>66</v>
      </c>
      <c r="AG151" s="105">
        <f>ROUND(((X151*F147/3600)),4)</f>
        <v>4.6399999999999997E-2</v>
      </c>
      <c r="AH151" s="105">
        <f>AB151+AC151+AD151</f>
        <v>1.17E-2</v>
      </c>
    </row>
    <row r="152" spans="1:36" ht="12.95" customHeight="1" x14ac:dyDescent="0.25">
      <c r="A152" s="58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2"/>
      <c r="M152" s="102"/>
      <c r="N152" s="101"/>
      <c r="O152" s="101"/>
      <c r="P152" s="101"/>
      <c r="Q152" s="105">
        <v>0.04</v>
      </c>
      <c r="R152" s="106">
        <v>0.04</v>
      </c>
      <c r="S152" s="105">
        <v>0.16</v>
      </c>
      <c r="T152" s="106">
        <v>0.3</v>
      </c>
      <c r="U152" s="106">
        <v>0.4</v>
      </c>
      <c r="V152" s="167">
        <f>ROUND((R152*N147+T152*L147+Q152*D147),4)</f>
        <v>0.20300000000000001</v>
      </c>
      <c r="W152" s="168">
        <f>ROUND((S152*0.9*O147+U152*0.9*L147+Q152*D147),4)</f>
        <v>0.90759999999999996</v>
      </c>
      <c r="X152" s="168">
        <f>ROUND((S152*P147+U152*L147+Q152*D147),4)</f>
        <v>3.2440000000000002</v>
      </c>
      <c r="Y152" s="168">
        <f>ROUND((T152*M147+Q152*E147),4)</f>
        <v>4.2999999999999997E-2</v>
      </c>
      <c r="Z152" s="168">
        <f>ROUND((U152*0.9*M147+Q152*E147),4)</f>
        <v>4.36E-2</v>
      </c>
      <c r="AA152" s="168">
        <f>ROUND((U152*M147+Q152*E147),4)</f>
        <v>4.3999999999999997E-2</v>
      </c>
      <c r="AB152" s="168">
        <f>ROUND((H147*(V152+Y152)*G147*I147/1000000),5)</f>
        <v>0</v>
      </c>
      <c r="AC152" s="168">
        <f>ROUND((H147*(W152+Z152)*G147*J147/1000000),5)</f>
        <v>3.0000000000000001E-5</v>
      </c>
      <c r="AD152" s="168">
        <f>ROUND((H147*(X152+AA152)*G147*K147/1000000),4)</f>
        <v>2.0000000000000001E-4</v>
      </c>
      <c r="AE152" s="103" t="s">
        <v>213</v>
      </c>
      <c r="AF152" s="104" t="s">
        <v>62</v>
      </c>
      <c r="AG152" s="105">
        <f>ROUND(((X152*F147/3600)),4)</f>
        <v>8.9999999999999998E-4</v>
      </c>
      <c r="AH152" s="105">
        <f>AB152+AC152+AD152</f>
        <v>2.3000000000000001E-4</v>
      </c>
      <c r="AI152" s="61">
        <f>SUM(AG147:AG152)</f>
        <v>6.4899999999999999E-2</v>
      </c>
      <c r="AJ152" s="61">
        <f>SUM(AH147:AH152)</f>
        <v>1.6440000000000003E-2</v>
      </c>
    </row>
    <row r="153" spans="1:36" ht="12.95" customHeight="1" x14ac:dyDescent="0.25">
      <c r="A153" s="1518" t="s">
        <v>496</v>
      </c>
      <c r="B153" s="1519"/>
      <c r="C153" s="1519"/>
      <c r="D153" s="1519"/>
      <c r="E153" s="1519"/>
      <c r="F153" s="1519"/>
      <c r="G153" s="1519"/>
      <c r="H153" s="1519"/>
      <c r="I153" s="1519"/>
      <c r="J153" s="1519"/>
      <c r="K153" s="1519"/>
      <c r="L153" s="1519"/>
      <c r="M153" s="1519"/>
      <c r="N153" s="1519"/>
      <c r="O153" s="1519"/>
      <c r="P153" s="1519"/>
      <c r="Q153" s="1519"/>
      <c r="R153" s="1519"/>
      <c r="S153" s="1519"/>
      <c r="T153" s="1520"/>
      <c r="U153" s="1520"/>
      <c r="V153" s="1519"/>
      <c r="W153" s="1519"/>
      <c r="X153" s="1519"/>
      <c r="Y153" s="1519"/>
      <c r="Z153" s="1519"/>
      <c r="AA153" s="1519"/>
      <c r="AB153" s="1519"/>
      <c r="AC153" s="1519"/>
      <c r="AD153" s="1519"/>
      <c r="AE153" s="1519"/>
      <c r="AF153" s="1519"/>
      <c r="AG153" s="1519"/>
      <c r="AH153" s="1521"/>
    </row>
    <row r="154" spans="1:36" ht="12.95" customHeight="1" x14ac:dyDescent="0.25">
      <c r="A154" s="574" t="s">
        <v>475</v>
      </c>
      <c r="B154" s="93" t="s">
        <v>211</v>
      </c>
      <c r="C154" s="1109" t="s">
        <v>444</v>
      </c>
      <c r="D154" s="97">
        <v>1</v>
      </c>
      <c r="E154" s="97">
        <v>1</v>
      </c>
      <c r="F154" s="97">
        <v>1</v>
      </c>
      <c r="G154" s="97">
        <v>1</v>
      </c>
      <c r="H154" s="97">
        <f>ROUND((F154/G154),2)</f>
        <v>1</v>
      </c>
      <c r="I154" s="490">
        <v>0</v>
      </c>
      <c r="J154" s="490">
        <v>30</v>
      </c>
      <c r="K154" s="491">
        <v>60</v>
      </c>
      <c r="L154" s="98">
        <v>0.01</v>
      </c>
      <c r="M154" s="98">
        <v>0.01</v>
      </c>
      <c r="N154" s="97">
        <v>4</v>
      </c>
      <c r="O154" s="97">
        <v>6</v>
      </c>
      <c r="P154" s="97">
        <v>20</v>
      </c>
      <c r="Q154" s="97">
        <v>1</v>
      </c>
      <c r="R154" s="96">
        <v>1</v>
      </c>
      <c r="S154" s="97">
        <v>2</v>
      </c>
      <c r="T154" s="96">
        <v>4</v>
      </c>
      <c r="U154" s="96">
        <v>4</v>
      </c>
      <c r="V154" s="108">
        <f>ROUND((R154*N154+T154*L154+Q154*D154),4)</f>
        <v>5.04</v>
      </c>
      <c r="W154" s="109">
        <f>ROUND((S154*O154+U154*L154+Q154*D154),4)</f>
        <v>13.04</v>
      </c>
      <c r="X154" s="109">
        <f>ROUND((S154*P154+U154*L154+Q154*D154),4)</f>
        <v>41.04</v>
      </c>
      <c r="Y154" s="109">
        <f>ROUND((T154*M154+Q154*E154),4)</f>
        <v>1.04</v>
      </c>
      <c r="Z154" s="109">
        <f>ROUND((U154*M154+Q154*E154),4)</f>
        <v>1.04</v>
      </c>
      <c r="AA154" s="109">
        <f>ROUND((U154*M154+Q154*E154),4)</f>
        <v>1.04</v>
      </c>
      <c r="AB154" s="109">
        <f>ROUND((H154*(V154+Y154)*G154*I154/1000000),4)</f>
        <v>0</v>
      </c>
      <c r="AC154" s="109">
        <f>ROUND((H154*(W154+Z154)*G154*J154/1000000),4)</f>
        <v>4.0000000000000002E-4</v>
      </c>
      <c r="AD154" s="109">
        <f>ROUND((H154*(X154+AA154)*G154*K154/1000000),4)</f>
        <v>2.5000000000000001E-3</v>
      </c>
      <c r="AE154" s="103" t="s">
        <v>48</v>
      </c>
      <c r="AF154" s="104" t="s">
        <v>49</v>
      </c>
      <c r="AG154" s="105">
        <f>ROUND(((X154*F154/3600)*0.8),4)</f>
        <v>9.1000000000000004E-3</v>
      </c>
      <c r="AH154" s="105">
        <f>ROUND(((AB154+AC154+AD154)*0.8),4)</f>
        <v>2.3E-3</v>
      </c>
    </row>
    <row r="155" spans="1:36" ht="12.95" customHeight="1" x14ac:dyDescent="0.25">
      <c r="A155" s="575" t="s">
        <v>166</v>
      </c>
      <c r="B155" s="94" t="s">
        <v>212</v>
      </c>
      <c r="C155" s="1110"/>
      <c r="D155" s="94"/>
      <c r="E155" s="94"/>
      <c r="F155" s="94"/>
      <c r="G155" s="94"/>
      <c r="H155" s="94"/>
      <c r="I155" s="94"/>
      <c r="J155" s="94"/>
      <c r="K155" s="94"/>
      <c r="L155" s="99"/>
      <c r="M155" s="99"/>
      <c r="N155" s="94"/>
      <c r="O155" s="94"/>
      <c r="P155" s="94"/>
      <c r="Q155" s="101"/>
      <c r="R155" s="101"/>
      <c r="S155" s="102"/>
      <c r="T155" s="101"/>
      <c r="U155" s="101"/>
      <c r="V155" s="110"/>
      <c r="W155" s="111"/>
      <c r="X155" s="111"/>
      <c r="Y155" s="111"/>
      <c r="Z155" s="111"/>
      <c r="AA155" s="111"/>
      <c r="AB155" s="111"/>
      <c r="AC155" s="111"/>
      <c r="AD155" s="111"/>
      <c r="AE155" s="103" t="s">
        <v>51</v>
      </c>
      <c r="AF155" s="104" t="s">
        <v>52</v>
      </c>
      <c r="AG155" s="105">
        <f>ROUND(((X154*F154/3600)*0.13),4)</f>
        <v>1.5E-3</v>
      </c>
      <c r="AH155" s="105">
        <f>ROUND(((AB154+AC154+AD154)*0.13),4)</f>
        <v>4.0000000000000002E-4</v>
      </c>
    </row>
    <row r="156" spans="1:36" ht="12.95" customHeight="1" x14ac:dyDescent="0.25">
      <c r="A156" s="576"/>
      <c r="B156" s="95" t="s">
        <v>491</v>
      </c>
      <c r="C156" s="95"/>
      <c r="D156" s="94"/>
      <c r="E156" s="94"/>
      <c r="F156" s="94"/>
      <c r="G156" s="94"/>
      <c r="H156" s="94"/>
      <c r="I156" s="94"/>
      <c r="J156" s="94"/>
      <c r="K156" s="94"/>
      <c r="L156" s="99"/>
      <c r="M156" s="99"/>
      <c r="N156" s="94"/>
      <c r="O156" s="94"/>
      <c r="P156" s="94"/>
      <c r="Q156" s="105">
        <v>0.1</v>
      </c>
      <c r="R156" s="106">
        <v>0.113</v>
      </c>
      <c r="S156" s="107">
        <v>0.13600000000000001</v>
      </c>
      <c r="T156" s="106">
        <v>0.54</v>
      </c>
      <c r="U156" s="106">
        <v>0.67</v>
      </c>
      <c r="V156" s="108">
        <f>ROUND((R156*N154+T156*L154+Q156*D154),4)</f>
        <v>0.55740000000000001</v>
      </c>
      <c r="W156" s="109">
        <f>ROUND((S156*0.9*O154+U156*0.9*L154+Q156*D154),4)</f>
        <v>0.84040000000000004</v>
      </c>
      <c r="X156" s="109">
        <f>ROUND((S156*P154+U156*L154+Q156*D154),4)</f>
        <v>2.8267000000000002</v>
      </c>
      <c r="Y156" s="109">
        <f>ROUND((T156*M154+Q156*E154),4)</f>
        <v>0.10539999999999999</v>
      </c>
      <c r="Z156" s="109">
        <f>ROUND((U156*0.9*M154+Q156*E154),4)</f>
        <v>0.106</v>
      </c>
      <c r="AA156" s="109">
        <f>ROUND((U156*M154+Q156*E154),4)</f>
        <v>0.1067</v>
      </c>
      <c r="AB156" s="109">
        <f>ROUND((H154*(V156+Y156)*G154*I154/1000000),5)</f>
        <v>0</v>
      </c>
      <c r="AC156" s="109">
        <f>ROUND((H154*(W156+Z156)*G154*J154/1000000),5)</f>
        <v>3.0000000000000001E-5</v>
      </c>
      <c r="AD156" s="109">
        <f>ROUND((H154*(X156+AA156)*G154*K154/1000000),5)</f>
        <v>1.8000000000000001E-4</v>
      </c>
      <c r="AE156" s="103" t="s">
        <v>56</v>
      </c>
      <c r="AF156" s="104" t="s">
        <v>57</v>
      </c>
      <c r="AG156" s="105">
        <f>ROUND(((X156*F154/3600)),4)</f>
        <v>8.0000000000000004E-4</v>
      </c>
      <c r="AH156" s="105">
        <f>AB156+AC156+AD156</f>
        <v>2.1000000000000001E-4</v>
      </c>
    </row>
    <row r="157" spans="1:36" ht="12.95" customHeight="1" x14ac:dyDescent="0.25">
      <c r="A157" s="576"/>
      <c r="B157" s="166"/>
      <c r="C157" s="94"/>
      <c r="D157" s="94"/>
      <c r="E157" s="94"/>
      <c r="F157" s="94"/>
      <c r="G157" s="94"/>
      <c r="H157" s="94"/>
      <c r="I157" s="94"/>
      <c r="J157" s="94"/>
      <c r="K157" s="94"/>
      <c r="L157" s="99"/>
      <c r="M157" s="99"/>
      <c r="N157" s="94"/>
      <c r="O157" s="94"/>
      <c r="P157" s="94"/>
      <c r="Q157" s="105">
        <v>0.45</v>
      </c>
      <c r="R157" s="106">
        <v>0.4</v>
      </c>
      <c r="S157" s="105">
        <v>1.1000000000000001</v>
      </c>
      <c r="T157" s="106">
        <v>1</v>
      </c>
      <c r="U157" s="106">
        <v>1.2</v>
      </c>
      <c r="V157" s="108">
        <f>ROUND((R157*N154+T157*L154+Q157*D154),4)</f>
        <v>2.06</v>
      </c>
      <c r="W157" s="109">
        <f>ROUND((S157*0.9*O154+U157*0.9*L154+Q157*D154),4)</f>
        <v>6.4008000000000003</v>
      </c>
      <c r="X157" s="109">
        <f>ROUND((S157*P154+U157*L154+Q157*D154),4)</f>
        <v>22.462</v>
      </c>
      <c r="Y157" s="109">
        <f>ROUND((T157*M154+Q157*E154),4)</f>
        <v>0.46</v>
      </c>
      <c r="Z157" s="109">
        <f>ROUND((U157*0.9*M154+Q157*E154),4)</f>
        <v>0.46079999999999999</v>
      </c>
      <c r="AA157" s="109">
        <f>ROUND((U157*M154+Q157*E154),4)</f>
        <v>0.46200000000000002</v>
      </c>
      <c r="AB157" s="109">
        <f>ROUND((H154*(V157+Y157)*G154*I154/1000000),4)</f>
        <v>0</v>
      </c>
      <c r="AC157" s="109">
        <f>ROUND((H154*(W157+Z157)*G154*J154/1000000),4)</f>
        <v>2.0000000000000001E-4</v>
      </c>
      <c r="AD157" s="109">
        <f>ROUND((H154*(X157+AA157)*G154*K154/1000000),4)</f>
        <v>1.4E-3</v>
      </c>
      <c r="AE157" s="103" t="s">
        <v>177</v>
      </c>
      <c r="AF157" s="104" t="s">
        <v>178</v>
      </c>
      <c r="AG157" s="105">
        <f>ROUND(((X157*F154/3600)),4)</f>
        <v>6.1999999999999998E-3</v>
      </c>
      <c r="AH157" s="105">
        <f>AB157+AC157+AD157</f>
        <v>1.6000000000000001E-3</v>
      </c>
    </row>
    <row r="158" spans="1:36" ht="12.95" customHeight="1" x14ac:dyDescent="0.25">
      <c r="A158" s="577"/>
      <c r="B158" s="94"/>
      <c r="C158" s="94"/>
      <c r="D158" s="94"/>
      <c r="E158" s="94"/>
      <c r="F158" s="94"/>
      <c r="G158" s="94"/>
      <c r="H158" s="94"/>
      <c r="I158" s="94"/>
      <c r="J158" s="94"/>
      <c r="K158" s="94"/>
      <c r="L158" s="99"/>
      <c r="M158" s="99"/>
      <c r="N158" s="94"/>
      <c r="O158" s="94"/>
      <c r="P158" s="94"/>
      <c r="Q158" s="105">
        <v>2.9</v>
      </c>
      <c r="R158" s="106">
        <v>3</v>
      </c>
      <c r="S158" s="105">
        <v>8.1999999999999993</v>
      </c>
      <c r="T158" s="106">
        <v>6.1</v>
      </c>
      <c r="U158" s="106">
        <v>7.4</v>
      </c>
      <c r="V158" s="167">
        <f>ROUND((R158*N154+T158*L154+Q158*D154),4)</f>
        <v>14.961</v>
      </c>
      <c r="W158" s="168">
        <f>ROUND((S158*0.9*O154+U158*0.9*L154+Q158*D154),4)</f>
        <v>47.246600000000001</v>
      </c>
      <c r="X158" s="168">
        <f>ROUND((S158*P154+U158*L154+Q158*D154),4)</f>
        <v>166.97399999999999</v>
      </c>
      <c r="Y158" s="168">
        <f>ROUND((T158*M154+Q158*E154),4)</f>
        <v>2.9609999999999999</v>
      </c>
      <c r="Z158" s="168">
        <f>ROUND((U158*0.9*M154+Q158*E154),4)</f>
        <v>2.9666000000000001</v>
      </c>
      <c r="AA158" s="168">
        <f>ROUND((U158*M154+Q158*E154),4)</f>
        <v>2.9740000000000002</v>
      </c>
      <c r="AB158" s="168">
        <f>ROUND((H154*(V158+Y158)*G154*I154/1000000),4)</f>
        <v>0</v>
      </c>
      <c r="AC158" s="168">
        <f>ROUND((H154*(W158+Z158)*G154*J154/1000000),4)</f>
        <v>1.5E-3</v>
      </c>
      <c r="AD158" s="168">
        <f>ROUND((H154*(X158+AA158)*G154*K154/1000000),4)</f>
        <v>1.0200000000000001E-2</v>
      </c>
      <c r="AE158" s="103" t="s">
        <v>65</v>
      </c>
      <c r="AF158" s="104" t="s">
        <v>66</v>
      </c>
      <c r="AG158" s="105">
        <f>ROUND(((X158*F154/3600)),4)</f>
        <v>4.6399999999999997E-2</v>
      </c>
      <c r="AH158" s="105">
        <f>AB158+AC158+AD158</f>
        <v>1.17E-2</v>
      </c>
    </row>
    <row r="159" spans="1:36" ht="12.95" customHeight="1" x14ac:dyDescent="0.25">
      <c r="A159" s="58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2"/>
      <c r="M159" s="102"/>
      <c r="N159" s="101"/>
      <c r="O159" s="101"/>
      <c r="P159" s="101"/>
      <c r="Q159" s="105">
        <v>0.04</v>
      </c>
      <c r="R159" s="106">
        <v>0.04</v>
      </c>
      <c r="S159" s="105">
        <v>0.16</v>
      </c>
      <c r="T159" s="106">
        <v>0.3</v>
      </c>
      <c r="U159" s="106">
        <v>0.4</v>
      </c>
      <c r="V159" s="167">
        <f>ROUND((R159*N154+T159*L154+Q159*D154),4)</f>
        <v>0.20300000000000001</v>
      </c>
      <c r="W159" s="168">
        <f>ROUND((S159*0.9*O154+U159*0.9*L154+Q159*D154),4)</f>
        <v>0.90759999999999996</v>
      </c>
      <c r="X159" s="168">
        <f>ROUND((S159*P154+U159*L154+Q159*D154),4)</f>
        <v>3.2440000000000002</v>
      </c>
      <c r="Y159" s="168">
        <f>ROUND((T159*M154+Q159*E154),4)</f>
        <v>4.2999999999999997E-2</v>
      </c>
      <c r="Z159" s="168">
        <f>ROUND((U159*0.9*M154+Q159*E154),4)</f>
        <v>4.36E-2</v>
      </c>
      <c r="AA159" s="168">
        <f>ROUND((U159*M154+Q159*E154),4)</f>
        <v>4.3999999999999997E-2</v>
      </c>
      <c r="AB159" s="168">
        <f>ROUND((H154*(V159+Y159)*G154*I154/1000000),5)</f>
        <v>0</v>
      </c>
      <c r="AC159" s="168">
        <f>ROUND((H154*(W159+Z159)*G154*J154/1000000),5)</f>
        <v>3.0000000000000001E-5</v>
      </c>
      <c r="AD159" s="168">
        <f>ROUND((H154*(X159+AA159)*G154*K154/1000000),4)</f>
        <v>2.0000000000000001E-4</v>
      </c>
      <c r="AE159" s="103" t="s">
        <v>213</v>
      </c>
      <c r="AF159" s="104" t="s">
        <v>62</v>
      </c>
      <c r="AG159" s="105">
        <f>ROUND(((X159*F154/3600)),4)</f>
        <v>8.9999999999999998E-4</v>
      </c>
      <c r="AH159" s="105">
        <f>AB159+AC159+AD159</f>
        <v>2.3000000000000001E-4</v>
      </c>
      <c r="AI159" s="61">
        <f>SUM(AG154:AG159)</f>
        <v>6.4899999999999999E-2</v>
      </c>
      <c r="AJ159" s="61">
        <f>SUM(AH154:AH159)</f>
        <v>1.6440000000000003E-2</v>
      </c>
    </row>
    <row r="160" spans="1:36" ht="12.95" customHeight="1" x14ac:dyDescent="0.25">
      <c r="A160" s="1518" t="s">
        <v>523</v>
      </c>
      <c r="B160" s="1519"/>
      <c r="C160" s="1519"/>
      <c r="D160" s="1519"/>
      <c r="E160" s="1519"/>
      <c r="F160" s="1519"/>
      <c r="G160" s="1519"/>
      <c r="H160" s="1519"/>
      <c r="I160" s="1519"/>
      <c r="J160" s="1519"/>
      <c r="K160" s="1519"/>
      <c r="L160" s="1519"/>
      <c r="M160" s="1519"/>
      <c r="N160" s="1519"/>
      <c r="O160" s="1519"/>
      <c r="P160" s="1519"/>
      <c r="Q160" s="1519"/>
      <c r="R160" s="1519"/>
      <c r="S160" s="1519"/>
      <c r="T160" s="1520"/>
      <c r="U160" s="1520"/>
      <c r="V160" s="1519"/>
      <c r="W160" s="1519"/>
      <c r="X160" s="1519"/>
      <c r="Y160" s="1519"/>
      <c r="Z160" s="1519"/>
      <c r="AA160" s="1519"/>
      <c r="AB160" s="1519"/>
      <c r="AC160" s="1519"/>
      <c r="AD160" s="1519"/>
      <c r="AE160" s="1519"/>
      <c r="AF160" s="1519"/>
      <c r="AG160" s="1519"/>
      <c r="AH160" s="1521"/>
    </row>
    <row r="161" spans="1:36" ht="12.95" customHeight="1" x14ac:dyDescent="0.25">
      <c r="A161" s="574" t="s">
        <v>514</v>
      </c>
      <c r="B161" s="93" t="s">
        <v>211</v>
      </c>
      <c r="C161" s="1109" t="s">
        <v>444</v>
      </c>
      <c r="D161" s="97">
        <v>1</v>
      </c>
      <c r="E161" s="97">
        <v>1</v>
      </c>
      <c r="F161" s="97">
        <v>1</v>
      </c>
      <c r="G161" s="97">
        <v>2</v>
      </c>
      <c r="H161" s="97">
        <f>ROUND((F161/G161),2)</f>
        <v>0.5</v>
      </c>
      <c r="I161" s="490">
        <v>0</v>
      </c>
      <c r="J161" s="490">
        <v>30</v>
      </c>
      <c r="K161" s="491">
        <v>60</v>
      </c>
      <c r="L161" s="98">
        <v>0.01</v>
      </c>
      <c r="M161" s="98">
        <v>0.01</v>
      </c>
      <c r="N161" s="97">
        <v>4</v>
      </c>
      <c r="O161" s="97">
        <v>6</v>
      </c>
      <c r="P161" s="97">
        <v>20</v>
      </c>
      <c r="Q161" s="97">
        <v>1</v>
      </c>
      <c r="R161" s="96">
        <v>1</v>
      </c>
      <c r="S161" s="97">
        <v>2</v>
      </c>
      <c r="T161" s="96">
        <v>4</v>
      </c>
      <c r="U161" s="96">
        <v>4</v>
      </c>
      <c r="V161" s="108">
        <f>ROUND((R161*N161+T161*L161+Q161*D161),4)</f>
        <v>5.04</v>
      </c>
      <c r="W161" s="109">
        <f>ROUND((S161*O161+U161*L161+Q161*D161),4)</f>
        <v>13.04</v>
      </c>
      <c r="X161" s="109">
        <f>ROUND((S161*P161+U161*L161+Q161*D161),4)</f>
        <v>41.04</v>
      </c>
      <c r="Y161" s="109">
        <f>ROUND((T161*M161+Q161*E161),4)</f>
        <v>1.04</v>
      </c>
      <c r="Z161" s="109">
        <f>ROUND((U161*M161+Q161*E161),4)</f>
        <v>1.04</v>
      </c>
      <c r="AA161" s="109">
        <f>ROUND((U161*M161+Q161*E161),4)</f>
        <v>1.04</v>
      </c>
      <c r="AB161" s="109">
        <f>ROUND((H161*(V161+Y161)*G161*I161/1000000),4)</f>
        <v>0</v>
      </c>
      <c r="AC161" s="109">
        <f>ROUND((H161*(W161+Z161)*G161*J161/1000000),4)</f>
        <v>4.0000000000000002E-4</v>
      </c>
      <c r="AD161" s="109">
        <f>ROUND((H161*(X161+AA161)*G161*K161/1000000),4)</f>
        <v>2.5000000000000001E-3</v>
      </c>
      <c r="AE161" s="103" t="s">
        <v>48</v>
      </c>
      <c r="AF161" s="104" t="s">
        <v>49</v>
      </c>
      <c r="AG161" s="105">
        <f>ROUND(((X161*F161/3600)*0.8),4)</f>
        <v>9.1000000000000004E-3</v>
      </c>
      <c r="AH161" s="105">
        <f>ROUND(((AB161+AC161+AD161)*0.8),4)</f>
        <v>2.3E-3</v>
      </c>
    </row>
    <row r="162" spans="1:36" ht="12.95" customHeight="1" x14ac:dyDescent="0.25">
      <c r="A162" s="575" t="s">
        <v>166</v>
      </c>
      <c r="B162" s="94" t="s">
        <v>212</v>
      </c>
      <c r="C162" s="1110"/>
      <c r="D162" s="94"/>
      <c r="E162" s="94"/>
      <c r="F162" s="94"/>
      <c r="G162" s="94"/>
      <c r="H162" s="94"/>
      <c r="I162" s="94"/>
      <c r="J162" s="94"/>
      <c r="K162" s="94"/>
      <c r="L162" s="99"/>
      <c r="M162" s="99"/>
      <c r="N162" s="94"/>
      <c r="O162" s="94"/>
      <c r="P162" s="94"/>
      <c r="Q162" s="101"/>
      <c r="R162" s="101"/>
      <c r="S162" s="102"/>
      <c r="T162" s="101"/>
      <c r="U162" s="101"/>
      <c r="V162" s="110"/>
      <c r="W162" s="111"/>
      <c r="X162" s="111"/>
      <c r="Y162" s="111"/>
      <c r="Z162" s="111"/>
      <c r="AA162" s="111"/>
      <c r="AB162" s="111"/>
      <c r="AC162" s="111"/>
      <c r="AD162" s="111"/>
      <c r="AE162" s="103" t="s">
        <v>51</v>
      </c>
      <c r="AF162" s="104" t="s">
        <v>52</v>
      </c>
      <c r="AG162" s="105">
        <f>ROUND(((X161*F161/3600)*0.13),4)</f>
        <v>1.5E-3</v>
      </c>
      <c r="AH162" s="105">
        <f>ROUND(((AB161+AC161+AD161)*0.13),4)</f>
        <v>4.0000000000000002E-4</v>
      </c>
    </row>
    <row r="163" spans="1:36" ht="12.95" customHeight="1" x14ac:dyDescent="0.25">
      <c r="A163" s="576"/>
      <c r="B163" s="95" t="s">
        <v>525</v>
      </c>
      <c r="C163" s="95"/>
      <c r="D163" s="94"/>
      <c r="E163" s="94"/>
      <c r="F163" s="94"/>
      <c r="G163" s="94"/>
      <c r="H163" s="94"/>
      <c r="I163" s="94"/>
      <c r="J163" s="94"/>
      <c r="K163" s="94"/>
      <c r="L163" s="99"/>
      <c r="M163" s="99"/>
      <c r="N163" s="94"/>
      <c r="O163" s="94"/>
      <c r="P163" s="94"/>
      <c r="Q163" s="105">
        <v>0.1</v>
      </c>
      <c r="R163" s="106">
        <v>0.113</v>
      </c>
      <c r="S163" s="107">
        <v>0.13600000000000001</v>
      </c>
      <c r="T163" s="106">
        <v>0.54</v>
      </c>
      <c r="U163" s="106">
        <v>0.67</v>
      </c>
      <c r="V163" s="108">
        <f>ROUND((R163*N161+T163*L161+Q163*D161),4)</f>
        <v>0.55740000000000001</v>
      </c>
      <c r="W163" s="109">
        <f>ROUND((S163*0.9*O161+U163*0.9*L161+Q163*D161),4)</f>
        <v>0.84040000000000004</v>
      </c>
      <c r="X163" s="109">
        <f>ROUND((S163*P161+U163*L161+Q163*D161),4)</f>
        <v>2.8267000000000002</v>
      </c>
      <c r="Y163" s="109">
        <f>ROUND((T163*M161+Q163*E161),4)</f>
        <v>0.10539999999999999</v>
      </c>
      <c r="Z163" s="109">
        <f>ROUND((U163*0.9*M161+Q163*E161),4)</f>
        <v>0.106</v>
      </c>
      <c r="AA163" s="109">
        <f>ROUND((U163*M161+Q163*E161),4)</f>
        <v>0.1067</v>
      </c>
      <c r="AB163" s="109">
        <f>ROUND((H161*(V163+Y163)*G161*I161/1000000),5)</f>
        <v>0</v>
      </c>
      <c r="AC163" s="109">
        <f>ROUND((H161*(W163+Z163)*G161*J161/1000000),5)</f>
        <v>3.0000000000000001E-5</v>
      </c>
      <c r="AD163" s="109">
        <f>ROUND((H161*(X163+AA163)*G161*K161/1000000),5)</f>
        <v>1.8000000000000001E-4</v>
      </c>
      <c r="AE163" s="103" t="s">
        <v>56</v>
      </c>
      <c r="AF163" s="104" t="s">
        <v>57</v>
      </c>
      <c r="AG163" s="105">
        <f>ROUND(((X163*F161/3600)),4)</f>
        <v>8.0000000000000004E-4</v>
      </c>
      <c r="AH163" s="105">
        <f>AB163+AC163+AD163</f>
        <v>2.1000000000000001E-4</v>
      </c>
    </row>
    <row r="164" spans="1:36" ht="12.95" customHeight="1" x14ac:dyDescent="0.25">
      <c r="A164" s="576"/>
      <c r="B164" s="166"/>
      <c r="C164" s="94"/>
      <c r="D164" s="94"/>
      <c r="E164" s="94"/>
      <c r="F164" s="94"/>
      <c r="G164" s="94"/>
      <c r="H164" s="94"/>
      <c r="I164" s="94"/>
      <c r="J164" s="94"/>
      <c r="K164" s="94"/>
      <c r="L164" s="99"/>
      <c r="M164" s="99"/>
      <c r="N164" s="94"/>
      <c r="O164" s="94"/>
      <c r="P164" s="94"/>
      <c r="Q164" s="105">
        <v>0.45</v>
      </c>
      <c r="R164" s="106">
        <v>0.4</v>
      </c>
      <c r="S164" s="105">
        <v>1.1000000000000001</v>
      </c>
      <c r="T164" s="106">
        <v>1</v>
      </c>
      <c r="U164" s="106">
        <v>1.2</v>
      </c>
      <c r="V164" s="108">
        <f>ROUND((R164*N161+T164*L161+Q164*D161),4)</f>
        <v>2.06</v>
      </c>
      <c r="W164" s="109">
        <f>ROUND((S164*0.9*O161+U164*0.9*L161+Q164*D161),4)</f>
        <v>6.4008000000000003</v>
      </c>
      <c r="X164" s="109">
        <f>ROUND((S164*P161+U164*L161+Q164*D161),4)</f>
        <v>22.462</v>
      </c>
      <c r="Y164" s="109">
        <f>ROUND((T164*M161+Q164*E161),4)</f>
        <v>0.46</v>
      </c>
      <c r="Z164" s="109">
        <f>ROUND((U164*0.9*M161+Q164*E161),4)</f>
        <v>0.46079999999999999</v>
      </c>
      <c r="AA164" s="109">
        <f>ROUND((U164*M161+Q164*E161),4)</f>
        <v>0.46200000000000002</v>
      </c>
      <c r="AB164" s="109">
        <f>ROUND((H161*(V164+Y164)*G161*I161/1000000),4)</f>
        <v>0</v>
      </c>
      <c r="AC164" s="109">
        <f>ROUND((H161*(W164+Z164)*G161*J161/1000000),4)</f>
        <v>2.0000000000000001E-4</v>
      </c>
      <c r="AD164" s="109">
        <f>ROUND((H161*(X164+AA164)*G161*K161/1000000),4)</f>
        <v>1.4E-3</v>
      </c>
      <c r="AE164" s="103" t="s">
        <v>177</v>
      </c>
      <c r="AF164" s="104" t="s">
        <v>178</v>
      </c>
      <c r="AG164" s="105">
        <f>ROUND(((X164*F161/3600)),4)</f>
        <v>6.1999999999999998E-3</v>
      </c>
      <c r="AH164" s="105">
        <f>AB164+AC164+AD164</f>
        <v>1.6000000000000001E-3</v>
      </c>
    </row>
    <row r="165" spans="1:36" ht="12.95" customHeight="1" x14ac:dyDescent="0.25">
      <c r="A165" s="577"/>
      <c r="B165" s="94"/>
      <c r="C165" s="94"/>
      <c r="D165" s="94"/>
      <c r="E165" s="94"/>
      <c r="F165" s="94"/>
      <c r="G165" s="94"/>
      <c r="H165" s="94"/>
      <c r="I165" s="94"/>
      <c r="J165" s="94"/>
      <c r="K165" s="94"/>
      <c r="L165" s="99"/>
      <c r="M165" s="99"/>
      <c r="N165" s="94"/>
      <c r="O165" s="94"/>
      <c r="P165" s="94"/>
      <c r="Q165" s="105">
        <v>2.9</v>
      </c>
      <c r="R165" s="106">
        <v>3</v>
      </c>
      <c r="S165" s="105">
        <v>8.1999999999999993</v>
      </c>
      <c r="T165" s="106">
        <v>6.1</v>
      </c>
      <c r="U165" s="106">
        <v>7.4</v>
      </c>
      <c r="V165" s="167">
        <f>ROUND((R165*N161+T165*L161+Q165*D161),4)</f>
        <v>14.961</v>
      </c>
      <c r="W165" s="168">
        <f>ROUND((S165*0.9*O161+U165*0.9*L161+Q165*D161),4)</f>
        <v>47.246600000000001</v>
      </c>
      <c r="X165" s="168">
        <f>ROUND((S165*P161+U165*L161+Q165*D161),4)</f>
        <v>166.97399999999999</v>
      </c>
      <c r="Y165" s="168">
        <f>ROUND((T165*M161+Q165*E161),4)</f>
        <v>2.9609999999999999</v>
      </c>
      <c r="Z165" s="168">
        <f>ROUND((U165*0.9*M161+Q165*E161),4)</f>
        <v>2.9666000000000001</v>
      </c>
      <c r="AA165" s="168">
        <f>ROUND((U165*M161+Q165*E161),4)</f>
        <v>2.9740000000000002</v>
      </c>
      <c r="AB165" s="168">
        <f>ROUND((H161*(V165+Y165)*G161*I161/1000000),4)</f>
        <v>0</v>
      </c>
      <c r="AC165" s="168">
        <f>ROUND((H161*(W165+Z165)*G161*J161/1000000),4)</f>
        <v>1.5E-3</v>
      </c>
      <c r="AD165" s="168">
        <f>ROUND((H161*(X165+AA165)*G161*K161/1000000),4)</f>
        <v>1.0200000000000001E-2</v>
      </c>
      <c r="AE165" s="103" t="s">
        <v>65</v>
      </c>
      <c r="AF165" s="104" t="s">
        <v>66</v>
      </c>
      <c r="AG165" s="105">
        <f>ROUND(((X165*F161/3600)),4)</f>
        <v>4.6399999999999997E-2</v>
      </c>
      <c r="AH165" s="105">
        <f>AB165+AC165+AD165</f>
        <v>1.17E-2</v>
      </c>
    </row>
    <row r="166" spans="1:36" ht="12.95" customHeight="1" x14ac:dyDescent="0.25">
      <c r="A166" s="58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2"/>
      <c r="M166" s="102"/>
      <c r="N166" s="101"/>
      <c r="O166" s="101"/>
      <c r="P166" s="101"/>
      <c r="Q166" s="105">
        <v>0.04</v>
      </c>
      <c r="R166" s="106">
        <v>0.04</v>
      </c>
      <c r="S166" s="105">
        <v>0.16</v>
      </c>
      <c r="T166" s="106">
        <v>0.3</v>
      </c>
      <c r="U166" s="106">
        <v>0.4</v>
      </c>
      <c r="V166" s="167">
        <f>ROUND((R166*N161+T166*L161+Q166*D161),4)</f>
        <v>0.20300000000000001</v>
      </c>
      <c r="W166" s="168">
        <f>ROUND((S166*0.9*O161+U166*0.9*L161+Q166*D161),4)</f>
        <v>0.90759999999999996</v>
      </c>
      <c r="X166" s="168">
        <f>ROUND((S166*P161+U166*L161+Q166*D161),4)</f>
        <v>3.2440000000000002</v>
      </c>
      <c r="Y166" s="168">
        <f>ROUND((T166*M161+Q166*E161),4)</f>
        <v>4.2999999999999997E-2</v>
      </c>
      <c r="Z166" s="168">
        <f>ROUND((U166*0.9*M161+Q166*E161),4)</f>
        <v>4.36E-2</v>
      </c>
      <c r="AA166" s="168">
        <f>ROUND((U166*M161+Q166*E161),4)</f>
        <v>4.3999999999999997E-2</v>
      </c>
      <c r="AB166" s="168">
        <f>ROUND((H161*(V166+Y166)*G161*I161/1000000),5)</f>
        <v>0</v>
      </c>
      <c r="AC166" s="168">
        <f>ROUND((H161*(W166+Z166)*G161*J161/1000000),5)</f>
        <v>3.0000000000000001E-5</v>
      </c>
      <c r="AD166" s="168">
        <f>ROUND((H161*(X166+AA166)*G161*K161/1000000),4)</f>
        <v>2.0000000000000001E-4</v>
      </c>
      <c r="AE166" s="103" t="s">
        <v>213</v>
      </c>
      <c r="AF166" s="104" t="s">
        <v>62</v>
      </c>
      <c r="AG166" s="105">
        <f>ROUND(((X166*F161/3600)),4)</f>
        <v>8.9999999999999998E-4</v>
      </c>
      <c r="AH166" s="105">
        <f>AB166+AC166+AD166</f>
        <v>2.3000000000000001E-4</v>
      </c>
      <c r="AI166" s="61">
        <f>SUM(AG161:AG166)</f>
        <v>6.4899999999999999E-2</v>
      </c>
      <c r="AJ166" s="61">
        <f>SUM(AH161:AH166)</f>
        <v>1.6440000000000003E-2</v>
      </c>
    </row>
    <row r="167" spans="1:36" ht="12.95" customHeight="1" x14ac:dyDescent="0.25">
      <c r="A167" s="1518" t="s">
        <v>729</v>
      </c>
      <c r="B167" s="1519"/>
      <c r="C167" s="1519"/>
      <c r="D167" s="1519"/>
      <c r="E167" s="1519"/>
      <c r="F167" s="1519"/>
      <c r="G167" s="1519"/>
      <c r="H167" s="1519"/>
      <c r="I167" s="1519"/>
      <c r="J167" s="1519"/>
      <c r="K167" s="1519"/>
      <c r="L167" s="1519"/>
      <c r="M167" s="1519"/>
      <c r="N167" s="1519"/>
      <c r="O167" s="1519"/>
      <c r="P167" s="1519"/>
      <c r="Q167" s="1519"/>
      <c r="R167" s="1519"/>
      <c r="S167" s="1519"/>
      <c r="T167" s="1520"/>
      <c r="U167" s="1520"/>
      <c r="V167" s="1519"/>
      <c r="W167" s="1519"/>
      <c r="X167" s="1519"/>
      <c r="Y167" s="1519"/>
      <c r="Z167" s="1519"/>
      <c r="AA167" s="1519"/>
      <c r="AB167" s="1519"/>
      <c r="AC167" s="1519"/>
      <c r="AD167" s="1519"/>
      <c r="AE167" s="1519"/>
      <c r="AF167" s="1519"/>
      <c r="AG167" s="1519"/>
      <c r="AH167" s="1521"/>
    </row>
    <row r="168" spans="1:36" ht="12.95" customHeight="1" x14ac:dyDescent="0.25">
      <c r="A168" s="574" t="s">
        <v>529</v>
      </c>
      <c r="B168" s="93" t="s">
        <v>211</v>
      </c>
      <c r="C168" s="1109" t="s">
        <v>444</v>
      </c>
      <c r="D168" s="97">
        <v>1</v>
      </c>
      <c r="E168" s="97">
        <v>1</v>
      </c>
      <c r="F168" s="97">
        <v>1</v>
      </c>
      <c r="G168" s="97">
        <v>1</v>
      </c>
      <c r="H168" s="97">
        <f>ROUND((F168/G168),2)</f>
        <v>1</v>
      </c>
      <c r="I168" s="490">
        <v>0</v>
      </c>
      <c r="J168" s="490">
        <v>30</v>
      </c>
      <c r="K168" s="491">
        <v>60</v>
      </c>
      <c r="L168" s="98">
        <v>0.01</v>
      </c>
      <c r="M168" s="98">
        <v>0.01</v>
      </c>
      <c r="N168" s="97">
        <v>4</v>
      </c>
      <c r="O168" s="97">
        <v>6</v>
      </c>
      <c r="P168" s="97">
        <v>20</v>
      </c>
      <c r="Q168" s="97">
        <v>1</v>
      </c>
      <c r="R168" s="96">
        <v>1</v>
      </c>
      <c r="S168" s="97">
        <v>2</v>
      </c>
      <c r="T168" s="96">
        <v>4</v>
      </c>
      <c r="U168" s="96">
        <v>4</v>
      </c>
      <c r="V168" s="108">
        <f>ROUND((R168*N168+T168*L168+Q168*D168),4)</f>
        <v>5.04</v>
      </c>
      <c r="W168" s="109">
        <f>ROUND((S168*O168+U168*L168+Q168*D168),4)</f>
        <v>13.04</v>
      </c>
      <c r="X168" s="109">
        <f>ROUND((S168*P168+U168*L168+Q168*D168),4)</f>
        <v>41.04</v>
      </c>
      <c r="Y168" s="109">
        <f>ROUND((T168*M168+Q168*E168),4)</f>
        <v>1.04</v>
      </c>
      <c r="Z168" s="109">
        <f>ROUND((U168*M168+Q168*E168),4)</f>
        <v>1.04</v>
      </c>
      <c r="AA168" s="109">
        <f>ROUND((U168*M168+Q168*E168),4)</f>
        <v>1.04</v>
      </c>
      <c r="AB168" s="109">
        <f>ROUND((H168*(V168+Y168)*G168*I168/1000000),4)</f>
        <v>0</v>
      </c>
      <c r="AC168" s="109">
        <f>ROUND((H168*(W168+Z168)*G168*J168/1000000),4)</f>
        <v>4.0000000000000002E-4</v>
      </c>
      <c r="AD168" s="109">
        <f>ROUND((H168*(X168+AA168)*G168*K168/1000000),4)</f>
        <v>2.5000000000000001E-3</v>
      </c>
      <c r="AE168" s="103" t="s">
        <v>48</v>
      </c>
      <c r="AF168" s="104" t="s">
        <v>49</v>
      </c>
      <c r="AG168" s="105">
        <f>ROUND(((X168*F168/3600)*0.8),4)</f>
        <v>9.1000000000000004E-3</v>
      </c>
      <c r="AH168" s="105">
        <f>ROUND(((AB168+AC168+AD168)*0.8),4)</f>
        <v>2.3E-3</v>
      </c>
    </row>
    <row r="169" spans="1:36" ht="12.95" customHeight="1" x14ac:dyDescent="0.25">
      <c r="A169" s="575" t="s">
        <v>150</v>
      </c>
      <c r="B169" s="94" t="s">
        <v>212</v>
      </c>
      <c r="C169" s="1110"/>
      <c r="D169" s="94"/>
      <c r="E169" s="94"/>
      <c r="F169" s="94"/>
      <c r="G169" s="94"/>
      <c r="H169" s="94"/>
      <c r="I169" s="94"/>
      <c r="J169" s="94"/>
      <c r="K169" s="94"/>
      <c r="L169" s="99"/>
      <c r="M169" s="99"/>
      <c r="N169" s="94"/>
      <c r="O169" s="94"/>
      <c r="P169" s="94"/>
      <c r="Q169" s="101"/>
      <c r="R169" s="101"/>
      <c r="S169" s="102"/>
      <c r="T169" s="101"/>
      <c r="U169" s="101"/>
      <c r="V169" s="110"/>
      <c r="W169" s="111"/>
      <c r="X169" s="111"/>
      <c r="Y169" s="111"/>
      <c r="Z169" s="111"/>
      <c r="AA169" s="111"/>
      <c r="AB169" s="111"/>
      <c r="AC169" s="111"/>
      <c r="AD169" s="111"/>
      <c r="AE169" s="103" t="s">
        <v>51</v>
      </c>
      <c r="AF169" s="104" t="s">
        <v>52</v>
      </c>
      <c r="AG169" s="105">
        <f>ROUND(((X168*F168/3600)*0.13),4)</f>
        <v>1.5E-3</v>
      </c>
      <c r="AH169" s="105">
        <f>ROUND(((AB168+AC168+AD168)*0.13),4)</f>
        <v>4.0000000000000002E-4</v>
      </c>
    </row>
    <row r="170" spans="1:36" ht="12.95" customHeight="1" x14ac:dyDescent="0.25">
      <c r="A170" s="576"/>
      <c r="B170" s="95" t="s">
        <v>491</v>
      </c>
      <c r="C170" s="95"/>
      <c r="D170" s="94"/>
      <c r="E170" s="94"/>
      <c r="F170" s="94"/>
      <c r="G170" s="94"/>
      <c r="H170" s="94"/>
      <c r="I170" s="94"/>
      <c r="J170" s="94"/>
      <c r="K170" s="94"/>
      <c r="L170" s="99"/>
      <c r="M170" s="99"/>
      <c r="N170" s="94"/>
      <c r="O170" s="94"/>
      <c r="P170" s="94"/>
      <c r="Q170" s="105">
        <v>0.1</v>
      </c>
      <c r="R170" s="106">
        <v>0.113</v>
      </c>
      <c r="S170" s="107">
        <v>0.13600000000000001</v>
      </c>
      <c r="T170" s="106">
        <v>0.54</v>
      </c>
      <c r="U170" s="106">
        <v>0.67</v>
      </c>
      <c r="V170" s="108">
        <f>ROUND((R170*N168+T170*L168+Q170*D168),4)</f>
        <v>0.55740000000000001</v>
      </c>
      <c r="W170" s="109">
        <f>ROUND((S170*0.9*O168+U170*0.9*L168+Q170*D168),4)</f>
        <v>0.84040000000000004</v>
      </c>
      <c r="X170" s="109">
        <f>ROUND((S170*P168+U170*L168+Q170*D168),4)</f>
        <v>2.8267000000000002</v>
      </c>
      <c r="Y170" s="109">
        <f>ROUND((T170*M168+Q170*E168),4)</f>
        <v>0.10539999999999999</v>
      </c>
      <c r="Z170" s="109">
        <f>ROUND((U170*0.9*M168+Q170*E168),4)</f>
        <v>0.106</v>
      </c>
      <c r="AA170" s="109">
        <f>ROUND((U170*M168+Q170*E168),4)</f>
        <v>0.1067</v>
      </c>
      <c r="AB170" s="109">
        <f>ROUND((H168*(V170+Y170)*G168*I168/1000000),5)</f>
        <v>0</v>
      </c>
      <c r="AC170" s="109">
        <f>ROUND((H168*(W170+Z170)*G168*J168/1000000),5)</f>
        <v>3.0000000000000001E-5</v>
      </c>
      <c r="AD170" s="109">
        <f>ROUND((H168*(X170+AA170)*G168*K168/1000000),5)</f>
        <v>1.8000000000000001E-4</v>
      </c>
      <c r="AE170" s="103" t="s">
        <v>56</v>
      </c>
      <c r="AF170" s="104" t="s">
        <v>57</v>
      </c>
      <c r="AG170" s="105">
        <f>ROUND(((X170*F168/3600)),4)</f>
        <v>8.0000000000000004E-4</v>
      </c>
      <c r="AH170" s="105">
        <f>AB170+AC170+AD170</f>
        <v>2.1000000000000001E-4</v>
      </c>
    </row>
    <row r="171" spans="1:36" ht="12.95" customHeight="1" x14ac:dyDescent="0.25">
      <c r="A171" s="576"/>
      <c r="B171" s="166"/>
      <c r="C171" s="94"/>
      <c r="D171" s="94"/>
      <c r="E171" s="94"/>
      <c r="F171" s="94"/>
      <c r="G171" s="94"/>
      <c r="H171" s="94"/>
      <c r="I171" s="94"/>
      <c r="J171" s="94"/>
      <c r="K171" s="94"/>
      <c r="L171" s="99"/>
      <c r="M171" s="99"/>
      <c r="N171" s="94"/>
      <c r="O171" s="94"/>
      <c r="P171" s="94"/>
      <c r="Q171" s="105">
        <v>0.45</v>
      </c>
      <c r="R171" s="106">
        <v>0.4</v>
      </c>
      <c r="S171" s="105">
        <v>1.1000000000000001</v>
      </c>
      <c r="T171" s="106">
        <v>1</v>
      </c>
      <c r="U171" s="106">
        <v>1.2</v>
      </c>
      <c r="V171" s="108">
        <f>ROUND((R171*N168+T171*L168+Q171*D168),4)</f>
        <v>2.06</v>
      </c>
      <c r="W171" s="109">
        <f>ROUND((S171*0.9*O168+U171*0.9*L168+Q171*D168),4)</f>
        <v>6.4008000000000003</v>
      </c>
      <c r="X171" s="109">
        <f>ROUND((S171*P168+U171*L168+Q171*D168),4)</f>
        <v>22.462</v>
      </c>
      <c r="Y171" s="109">
        <f>ROUND((T171*M168+Q171*E168),4)</f>
        <v>0.46</v>
      </c>
      <c r="Z171" s="109">
        <f>ROUND((U171*0.9*M168+Q171*E168),4)</f>
        <v>0.46079999999999999</v>
      </c>
      <c r="AA171" s="109">
        <f>ROUND((U171*M168+Q171*E168),4)</f>
        <v>0.46200000000000002</v>
      </c>
      <c r="AB171" s="109">
        <f>ROUND((H168*(V171+Y171)*G168*I168/1000000),4)</f>
        <v>0</v>
      </c>
      <c r="AC171" s="109">
        <f>ROUND((H168*(W171+Z171)*G168*J168/1000000),4)</f>
        <v>2.0000000000000001E-4</v>
      </c>
      <c r="AD171" s="109">
        <f>ROUND((H168*(X171+AA171)*G168*K168/1000000),4)</f>
        <v>1.4E-3</v>
      </c>
      <c r="AE171" s="103" t="s">
        <v>177</v>
      </c>
      <c r="AF171" s="104" t="s">
        <v>178</v>
      </c>
      <c r="AG171" s="105">
        <f>ROUND(((X171*F168/3600)),4)</f>
        <v>6.1999999999999998E-3</v>
      </c>
      <c r="AH171" s="105">
        <f>AB171+AC171+AD171</f>
        <v>1.6000000000000001E-3</v>
      </c>
    </row>
    <row r="172" spans="1:36" ht="12.95" customHeight="1" x14ac:dyDescent="0.25">
      <c r="A172" s="577"/>
      <c r="B172" s="94"/>
      <c r="C172" s="94"/>
      <c r="D172" s="94"/>
      <c r="E172" s="94"/>
      <c r="F172" s="94"/>
      <c r="G172" s="94"/>
      <c r="H172" s="94"/>
      <c r="I172" s="94"/>
      <c r="J172" s="94"/>
      <c r="K172" s="94"/>
      <c r="L172" s="99"/>
      <c r="M172" s="99"/>
      <c r="N172" s="94"/>
      <c r="O172" s="94"/>
      <c r="P172" s="94"/>
      <c r="Q172" s="105">
        <v>2.9</v>
      </c>
      <c r="R172" s="106">
        <v>3</v>
      </c>
      <c r="S172" s="105">
        <v>8.1999999999999993</v>
      </c>
      <c r="T172" s="106">
        <v>6.1</v>
      </c>
      <c r="U172" s="106">
        <v>7.4</v>
      </c>
      <c r="V172" s="167">
        <f>ROUND((R172*N168+T172*L168+Q172*D168),4)</f>
        <v>14.961</v>
      </c>
      <c r="W172" s="168">
        <f>ROUND((S172*0.9*O168+U172*0.9*L168+Q172*D168),4)</f>
        <v>47.246600000000001</v>
      </c>
      <c r="X172" s="168">
        <f>ROUND((S172*P168+U172*L168+Q172*D168),4)</f>
        <v>166.97399999999999</v>
      </c>
      <c r="Y172" s="168">
        <f>ROUND((T172*M168+Q172*E168),4)</f>
        <v>2.9609999999999999</v>
      </c>
      <c r="Z172" s="168">
        <f>ROUND((U172*0.9*M168+Q172*E168),4)</f>
        <v>2.9666000000000001</v>
      </c>
      <c r="AA172" s="168">
        <f>ROUND((U172*M168+Q172*E168),4)</f>
        <v>2.9740000000000002</v>
      </c>
      <c r="AB172" s="168">
        <f>ROUND((H168*(V172+Y172)*G168*I168/1000000),4)</f>
        <v>0</v>
      </c>
      <c r="AC172" s="168">
        <f>ROUND((H168*(W172+Z172)*G168*J168/1000000),4)</f>
        <v>1.5E-3</v>
      </c>
      <c r="AD172" s="168">
        <f>ROUND((H168*(X172+AA172)*G168*K168/1000000),4)</f>
        <v>1.0200000000000001E-2</v>
      </c>
      <c r="AE172" s="103" t="s">
        <v>65</v>
      </c>
      <c r="AF172" s="104" t="s">
        <v>66</v>
      </c>
      <c r="AG172" s="105">
        <f>ROUND(((X172*F168/3600)),4)</f>
        <v>4.6399999999999997E-2</v>
      </c>
      <c r="AH172" s="105">
        <f>AB172+AC172+AD172</f>
        <v>1.17E-2</v>
      </c>
    </row>
    <row r="173" spans="1:36" ht="12.95" customHeight="1" x14ac:dyDescent="0.25">
      <c r="A173" s="58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2"/>
      <c r="M173" s="102"/>
      <c r="N173" s="101"/>
      <c r="O173" s="101"/>
      <c r="P173" s="101"/>
      <c r="Q173" s="105">
        <v>0.04</v>
      </c>
      <c r="R173" s="106">
        <v>0.04</v>
      </c>
      <c r="S173" s="105">
        <v>0.16</v>
      </c>
      <c r="T173" s="106">
        <v>0.3</v>
      </c>
      <c r="U173" s="106">
        <v>0.4</v>
      </c>
      <c r="V173" s="167">
        <f>ROUND((R173*N168+T173*L168+Q173*D168),4)</f>
        <v>0.20300000000000001</v>
      </c>
      <c r="W173" s="168">
        <f>ROUND((S173*0.9*O168+U173*0.9*L168+Q173*D168),4)</f>
        <v>0.90759999999999996</v>
      </c>
      <c r="X173" s="168">
        <f>ROUND((S173*P168+U173*L168+Q173*D168),4)</f>
        <v>3.2440000000000002</v>
      </c>
      <c r="Y173" s="168">
        <f>ROUND((T173*M168+Q173*E168),4)</f>
        <v>4.2999999999999997E-2</v>
      </c>
      <c r="Z173" s="168">
        <f>ROUND((U173*0.9*M168+Q173*E168),4)</f>
        <v>4.36E-2</v>
      </c>
      <c r="AA173" s="168">
        <f>ROUND((U173*M168+Q173*E168),4)</f>
        <v>4.3999999999999997E-2</v>
      </c>
      <c r="AB173" s="168">
        <f>ROUND((H168*(V173+Y173)*G168*I168/1000000),5)</f>
        <v>0</v>
      </c>
      <c r="AC173" s="168">
        <f>ROUND((H168*(W173+Z173)*G168*J168/1000000),5)</f>
        <v>3.0000000000000001E-5</v>
      </c>
      <c r="AD173" s="168">
        <f>ROUND((H168*(X173+AA173)*G168*K168/1000000),4)</f>
        <v>2.0000000000000001E-4</v>
      </c>
      <c r="AE173" s="103" t="s">
        <v>213</v>
      </c>
      <c r="AF173" s="104" t="s">
        <v>62</v>
      </c>
      <c r="AG173" s="105">
        <f>ROUND(((X173*F168/3600)),4)</f>
        <v>8.9999999999999998E-4</v>
      </c>
      <c r="AH173" s="105">
        <f>AB173+AC173+AD173</f>
        <v>2.3000000000000001E-4</v>
      </c>
      <c r="AI173" s="61">
        <f>SUM(AG168:AG173)</f>
        <v>6.4899999999999999E-2</v>
      </c>
      <c r="AJ173" s="61">
        <f>SUM(AH168:AH173)</f>
        <v>1.6440000000000003E-2</v>
      </c>
    </row>
    <row r="174" spans="1:36" ht="12.95" customHeight="1" x14ac:dyDescent="0.25">
      <c r="A174" s="1518" t="s">
        <v>561</v>
      </c>
      <c r="B174" s="1519"/>
      <c r="C174" s="1519"/>
      <c r="D174" s="1519"/>
      <c r="E174" s="1519"/>
      <c r="F174" s="1519"/>
      <c r="G174" s="1519"/>
      <c r="H174" s="1519"/>
      <c r="I174" s="1519"/>
      <c r="J174" s="1519"/>
      <c r="K174" s="1519"/>
      <c r="L174" s="1519"/>
      <c r="M174" s="1519"/>
      <c r="N174" s="1519"/>
      <c r="O174" s="1519"/>
      <c r="P174" s="1519"/>
      <c r="Q174" s="1519"/>
      <c r="R174" s="1519"/>
      <c r="S174" s="1519"/>
      <c r="T174" s="1520"/>
      <c r="U174" s="1520"/>
      <c r="V174" s="1519"/>
      <c r="W174" s="1519"/>
      <c r="X174" s="1519"/>
      <c r="Y174" s="1519"/>
      <c r="Z174" s="1519"/>
      <c r="AA174" s="1519"/>
      <c r="AB174" s="1519"/>
      <c r="AC174" s="1519"/>
      <c r="AD174" s="1519"/>
      <c r="AE174" s="1519"/>
      <c r="AF174" s="1519"/>
      <c r="AG174" s="1519"/>
      <c r="AH174" s="1521"/>
    </row>
    <row r="175" spans="1:36" ht="12.95" customHeight="1" x14ac:dyDescent="0.25">
      <c r="A175" s="574" t="s">
        <v>532</v>
      </c>
      <c r="B175" s="93" t="s">
        <v>211</v>
      </c>
      <c r="C175" s="1109" t="s">
        <v>444</v>
      </c>
      <c r="D175" s="97">
        <v>1</v>
      </c>
      <c r="E175" s="97">
        <v>1</v>
      </c>
      <c r="F175" s="97">
        <v>1</v>
      </c>
      <c r="G175" s="97">
        <v>1</v>
      </c>
      <c r="H175" s="97">
        <f>ROUND((F175/G175),2)</f>
        <v>1</v>
      </c>
      <c r="I175" s="490">
        <v>0</v>
      </c>
      <c r="J175" s="490">
        <v>30</v>
      </c>
      <c r="K175" s="491">
        <v>60</v>
      </c>
      <c r="L175" s="98">
        <v>0.01</v>
      </c>
      <c r="M175" s="98">
        <v>0.01</v>
      </c>
      <c r="N175" s="97">
        <v>4</v>
      </c>
      <c r="O175" s="97">
        <v>6</v>
      </c>
      <c r="P175" s="97">
        <v>20</v>
      </c>
      <c r="Q175" s="97">
        <v>1</v>
      </c>
      <c r="R175" s="96">
        <v>1</v>
      </c>
      <c r="S175" s="97">
        <v>2</v>
      </c>
      <c r="T175" s="96">
        <v>4</v>
      </c>
      <c r="U175" s="96">
        <v>4</v>
      </c>
      <c r="V175" s="108">
        <f>ROUND((R175*N175+T175*L175+Q175*D175),4)</f>
        <v>5.04</v>
      </c>
      <c r="W175" s="109">
        <f>ROUND((S175*O175+U175*L175+Q175*D175),4)</f>
        <v>13.04</v>
      </c>
      <c r="X175" s="109">
        <f>ROUND((S175*P175+U175*L175+Q175*D175),4)</f>
        <v>41.04</v>
      </c>
      <c r="Y175" s="109">
        <f>ROUND((T175*M175+Q175*E175),4)</f>
        <v>1.04</v>
      </c>
      <c r="Z175" s="109">
        <f>ROUND((U175*M175+Q175*E175),4)</f>
        <v>1.04</v>
      </c>
      <c r="AA175" s="109">
        <f>ROUND((U175*M175+Q175*E175),4)</f>
        <v>1.04</v>
      </c>
      <c r="AB175" s="109">
        <f>ROUND((H175*(V175+Y175)*G175*I175/1000000),4)</f>
        <v>0</v>
      </c>
      <c r="AC175" s="109">
        <f>ROUND((H175*(W175+Z175)*G175*J175/1000000),4)</f>
        <v>4.0000000000000002E-4</v>
      </c>
      <c r="AD175" s="109">
        <f>ROUND((H175*(X175+AA175)*G175*K175/1000000),4)</f>
        <v>2.5000000000000001E-3</v>
      </c>
      <c r="AE175" s="103" t="s">
        <v>48</v>
      </c>
      <c r="AF175" s="104" t="s">
        <v>49</v>
      </c>
      <c r="AG175" s="105">
        <f>ROUND(((X175*F175/3600)*0.8),4)</f>
        <v>9.1000000000000004E-3</v>
      </c>
      <c r="AH175" s="105">
        <f>ROUND(((AB175+AC175+AD175)*0.8),4)</f>
        <v>2.3E-3</v>
      </c>
    </row>
    <row r="176" spans="1:36" ht="12.95" customHeight="1" x14ac:dyDescent="0.25">
      <c r="A176" s="575" t="s">
        <v>166</v>
      </c>
      <c r="B176" s="94" t="s">
        <v>212</v>
      </c>
      <c r="C176" s="1110"/>
      <c r="D176" s="94"/>
      <c r="E176" s="94"/>
      <c r="F176" s="94"/>
      <c r="G176" s="94"/>
      <c r="H176" s="94"/>
      <c r="I176" s="94"/>
      <c r="J176" s="94"/>
      <c r="K176" s="94"/>
      <c r="L176" s="99"/>
      <c r="M176" s="99"/>
      <c r="N176" s="94"/>
      <c r="O176" s="94"/>
      <c r="P176" s="94"/>
      <c r="Q176" s="101"/>
      <c r="R176" s="101"/>
      <c r="S176" s="102"/>
      <c r="T176" s="101"/>
      <c r="U176" s="101"/>
      <c r="V176" s="110"/>
      <c r="W176" s="111"/>
      <c r="X176" s="111"/>
      <c r="Y176" s="111"/>
      <c r="Z176" s="111"/>
      <c r="AA176" s="111"/>
      <c r="AB176" s="111"/>
      <c r="AC176" s="111"/>
      <c r="AD176" s="111"/>
      <c r="AE176" s="103" t="s">
        <v>51</v>
      </c>
      <c r="AF176" s="104" t="s">
        <v>52</v>
      </c>
      <c r="AG176" s="105">
        <f>ROUND(((X175*F175/3600)*0.13),4)</f>
        <v>1.5E-3</v>
      </c>
      <c r="AH176" s="105">
        <f>ROUND(((AB175+AC175+AD175)*0.13),4)</f>
        <v>4.0000000000000002E-4</v>
      </c>
    </row>
    <row r="177" spans="1:36" ht="12.95" customHeight="1" x14ac:dyDescent="0.25">
      <c r="A177" s="576"/>
      <c r="B177" s="95" t="s">
        <v>491</v>
      </c>
      <c r="C177" s="95"/>
      <c r="D177" s="94"/>
      <c r="E177" s="94"/>
      <c r="F177" s="94"/>
      <c r="G177" s="94"/>
      <c r="H177" s="94"/>
      <c r="I177" s="94"/>
      <c r="J177" s="94"/>
      <c r="K177" s="94"/>
      <c r="L177" s="99"/>
      <c r="M177" s="99"/>
      <c r="N177" s="94"/>
      <c r="O177" s="94"/>
      <c r="P177" s="94"/>
      <c r="Q177" s="105">
        <v>0.1</v>
      </c>
      <c r="R177" s="106">
        <v>0.113</v>
      </c>
      <c r="S177" s="107">
        <v>0.13600000000000001</v>
      </c>
      <c r="T177" s="106">
        <v>0.54</v>
      </c>
      <c r="U177" s="106">
        <v>0.67</v>
      </c>
      <c r="V177" s="108">
        <f>ROUND((R177*N175+T177*L175+Q177*D175),4)</f>
        <v>0.55740000000000001</v>
      </c>
      <c r="W177" s="109">
        <f>ROUND((S177*0.9*O175+U177*0.9*L175+Q177*D175),4)</f>
        <v>0.84040000000000004</v>
      </c>
      <c r="X177" s="109">
        <f>ROUND((S177*P175+U177*L175+Q177*D175),4)</f>
        <v>2.8267000000000002</v>
      </c>
      <c r="Y177" s="109">
        <f>ROUND((T177*M175+Q177*E175),4)</f>
        <v>0.10539999999999999</v>
      </c>
      <c r="Z177" s="109">
        <f>ROUND((U177*0.9*M175+Q177*E175),4)</f>
        <v>0.106</v>
      </c>
      <c r="AA177" s="109">
        <f>ROUND((U177*M175+Q177*E175),4)</f>
        <v>0.1067</v>
      </c>
      <c r="AB177" s="109">
        <f>ROUND((H175*(V177+Y177)*G175*I175/1000000),5)</f>
        <v>0</v>
      </c>
      <c r="AC177" s="109">
        <f>ROUND((H175*(W177+Z177)*G175*J175/1000000),5)</f>
        <v>3.0000000000000001E-5</v>
      </c>
      <c r="AD177" s="109">
        <f>ROUND((H175*(X177+AA177)*G175*K175/1000000),5)</f>
        <v>1.8000000000000001E-4</v>
      </c>
      <c r="AE177" s="103" t="s">
        <v>56</v>
      </c>
      <c r="AF177" s="104" t="s">
        <v>57</v>
      </c>
      <c r="AG177" s="105">
        <f>ROUND(((X177*F175/3600)),4)</f>
        <v>8.0000000000000004E-4</v>
      </c>
      <c r="AH177" s="105">
        <f>AB177+AC177+AD177</f>
        <v>2.1000000000000001E-4</v>
      </c>
    </row>
    <row r="178" spans="1:36" ht="12.95" customHeight="1" x14ac:dyDescent="0.25">
      <c r="A178" s="576"/>
      <c r="B178" s="166"/>
      <c r="C178" s="94"/>
      <c r="D178" s="94"/>
      <c r="E178" s="94"/>
      <c r="F178" s="94"/>
      <c r="G178" s="94"/>
      <c r="H178" s="94"/>
      <c r="I178" s="94"/>
      <c r="J178" s="94"/>
      <c r="K178" s="94"/>
      <c r="L178" s="99"/>
      <c r="M178" s="99"/>
      <c r="N178" s="94"/>
      <c r="O178" s="94"/>
      <c r="P178" s="94"/>
      <c r="Q178" s="105">
        <v>0.45</v>
      </c>
      <c r="R178" s="106">
        <v>0.4</v>
      </c>
      <c r="S178" s="105">
        <v>1.1000000000000001</v>
      </c>
      <c r="T178" s="106">
        <v>1</v>
      </c>
      <c r="U178" s="106">
        <v>1.2</v>
      </c>
      <c r="V178" s="108">
        <f>ROUND((R178*N175+T178*L175+Q178*D175),4)</f>
        <v>2.06</v>
      </c>
      <c r="W178" s="109">
        <f>ROUND((S178*0.9*O175+U178*0.9*L175+Q178*D175),4)</f>
        <v>6.4008000000000003</v>
      </c>
      <c r="X178" s="109">
        <f>ROUND((S178*P175+U178*L175+Q178*D175),4)</f>
        <v>22.462</v>
      </c>
      <c r="Y178" s="109">
        <f>ROUND((T178*M175+Q178*E175),4)</f>
        <v>0.46</v>
      </c>
      <c r="Z178" s="109">
        <f>ROUND((U178*0.9*M175+Q178*E175),4)</f>
        <v>0.46079999999999999</v>
      </c>
      <c r="AA178" s="109">
        <f>ROUND((U178*M175+Q178*E175),4)</f>
        <v>0.46200000000000002</v>
      </c>
      <c r="AB178" s="109">
        <f>ROUND((H175*(V178+Y178)*G175*I175/1000000),4)</f>
        <v>0</v>
      </c>
      <c r="AC178" s="109">
        <f>ROUND((H175*(W178+Z178)*G175*J175/1000000),4)</f>
        <v>2.0000000000000001E-4</v>
      </c>
      <c r="AD178" s="109">
        <f>ROUND((H175*(X178+AA178)*G175*K175/1000000),4)</f>
        <v>1.4E-3</v>
      </c>
      <c r="AE178" s="103" t="s">
        <v>177</v>
      </c>
      <c r="AF178" s="104" t="s">
        <v>178</v>
      </c>
      <c r="AG178" s="105">
        <f>ROUND(((X178*F175/3600)),4)</f>
        <v>6.1999999999999998E-3</v>
      </c>
      <c r="AH178" s="105">
        <f>AB178+AC178+AD178</f>
        <v>1.6000000000000001E-3</v>
      </c>
    </row>
    <row r="179" spans="1:36" ht="12.95" customHeight="1" x14ac:dyDescent="0.25">
      <c r="A179" s="577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9"/>
      <c r="M179" s="99"/>
      <c r="N179" s="94"/>
      <c r="O179" s="94"/>
      <c r="P179" s="94"/>
      <c r="Q179" s="105">
        <v>2.9</v>
      </c>
      <c r="R179" s="106">
        <v>3</v>
      </c>
      <c r="S179" s="105">
        <v>8.1999999999999993</v>
      </c>
      <c r="T179" s="106">
        <v>6.1</v>
      </c>
      <c r="U179" s="106">
        <v>7.4</v>
      </c>
      <c r="V179" s="167">
        <f>ROUND((R179*N175+T179*L175+Q179*D175),4)</f>
        <v>14.961</v>
      </c>
      <c r="W179" s="168">
        <f>ROUND((S179*0.9*O175+U179*0.9*L175+Q179*D175),4)</f>
        <v>47.246600000000001</v>
      </c>
      <c r="X179" s="168">
        <f>ROUND((S179*P175+U179*L175+Q179*D175),4)</f>
        <v>166.97399999999999</v>
      </c>
      <c r="Y179" s="168">
        <f>ROUND((T179*M175+Q179*E175),4)</f>
        <v>2.9609999999999999</v>
      </c>
      <c r="Z179" s="168">
        <f>ROUND((U179*0.9*M175+Q179*E175),4)</f>
        <v>2.9666000000000001</v>
      </c>
      <c r="AA179" s="168">
        <f>ROUND((U179*M175+Q179*E175),4)</f>
        <v>2.9740000000000002</v>
      </c>
      <c r="AB179" s="168">
        <f>ROUND((H175*(V179+Y179)*G175*I175/1000000),4)</f>
        <v>0</v>
      </c>
      <c r="AC179" s="168">
        <f>ROUND((H175*(W179+Z179)*G175*J175/1000000),4)</f>
        <v>1.5E-3</v>
      </c>
      <c r="AD179" s="168">
        <f>ROUND((H175*(X179+AA179)*G175*K175/1000000),4)</f>
        <v>1.0200000000000001E-2</v>
      </c>
      <c r="AE179" s="103" t="s">
        <v>65</v>
      </c>
      <c r="AF179" s="104" t="s">
        <v>66</v>
      </c>
      <c r="AG179" s="105">
        <f>ROUND(((X179*F175/3600)),4)</f>
        <v>4.6399999999999997E-2</v>
      </c>
      <c r="AH179" s="105">
        <f>AB179+AC179+AD179</f>
        <v>1.17E-2</v>
      </c>
    </row>
    <row r="180" spans="1:36" ht="12.95" customHeight="1" x14ac:dyDescent="0.25">
      <c r="A180" s="58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2"/>
      <c r="M180" s="102"/>
      <c r="N180" s="101"/>
      <c r="O180" s="101"/>
      <c r="P180" s="101"/>
      <c r="Q180" s="105">
        <v>0.04</v>
      </c>
      <c r="R180" s="106">
        <v>0.04</v>
      </c>
      <c r="S180" s="105">
        <v>0.16</v>
      </c>
      <c r="T180" s="106">
        <v>0.3</v>
      </c>
      <c r="U180" s="106">
        <v>0.4</v>
      </c>
      <c r="V180" s="167">
        <f>ROUND((R180*N175+T180*L175+Q180*D175),4)</f>
        <v>0.20300000000000001</v>
      </c>
      <c r="W180" s="168">
        <f>ROUND((S180*0.9*O175+U180*0.9*L175+Q180*D175),4)</f>
        <v>0.90759999999999996</v>
      </c>
      <c r="X180" s="168">
        <f>ROUND((S180*P175+U180*L175+Q180*D175),4)</f>
        <v>3.2440000000000002</v>
      </c>
      <c r="Y180" s="168">
        <f>ROUND((T180*M175+Q180*E175),4)</f>
        <v>4.2999999999999997E-2</v>
      </c>
      <c r="Z180" s="168">
        <f>ROUND((U180*0.9*M175+Q180*E175),4)</f>
        <v>4.36E-2</v>
      </c>
      <c r="AA180" s="168">
        <f>ROUND((U180*M175+Q180*E175),4)</f>
        <v>4.3999999999999997E-2</v>
      </c>
      <c r="AB180" s="168">
        <f>ROUND((H175*(V180+Y180)*G175*I175/1000000),5)</f>
        <v>0</v>
      </c>
      <c r="AC180" s="168">
        <f>ROUND((H175*(W180+Z180)*G175*J175/1000000),5)</f>
        <v>3.0000000000000001E-5</v>
      </c>
      <c r="AD180" s="168">
        <f>ROUND((H175*(X180+AA180)*G175*K175/1000000),4)</f>
        <v>2.0000000000000001E-4</v>
      </c>
      <c r="AE180" s="103" t="s">
        <v>213</v>
      </c>
      <c r="AF180" s="104" t="s">
        <v>62</v>
      </c>
      <c r="AG180" s="105">
        <f>ROUND(((X180*F175/3600)),4)</f>
        <v>8.9999999999999998E-4</v>
      </c>
      <c r="AH180" s="105">
        <f>AB180+AC180+AD180</f>
        <v>2.3000000000000001E-4</v>
      </c>
      <c r="AI180" s="61">
        <f>SUM(AG175:AG180)</f>
        <v>6.4899999999999999E-2</v>
      </c>
      <c r="AJ180" s="61">
        <f>SUM(AH175:AH180)</f>
        <v>1.6440000000000003E-2</v>
      </c>
    </row>
    <row r="181" spans="1:36" ht="12.95" customHeight="1" x14ac:dyDescent="0.25">
      <c r="A181" s="1518" t="s">
        <v>562</v>
      </c>
      <c r="B181" s="1519"/>
      <c r="C181" s="1519"/>
      <c r="D181" s="1519"/>
      <c r="E181" s="1519"/>
      <c r="F181" s="1519"/>
      <c r="G181" s="1519"/>
      <c r="H181" s="1519"/>
      <c r="I181" s="1519"/>
      <c r="J181" s="1519"/>
      <c r="K181" s="1519"/>
      <c r="L181" s="1519"/>
      <c r="M181" s="1519"/>
      <c r="N181" s="1519"/>
      <c r="O181" s="1519"/>
      <c r="P181" s="1519"/>
      <c r="Q181" s="1519"/>
      <c r="R181" s="1519"/>
      <c r="S181" s="1519"/>
      <c r="T181" s="1520"/>
      <c r="U181" s="1520"/>
      <c r="V181" s="1519"/>
      <c r="W181" s="1519"/>
      <c r="X181" s="1519"/>
      <c r="Y181" s="1519"/>
      <c r="Z181" s="1519"/>
      <c r="AA181" s="1519"/>
      <c r="AB181" s="1519"/>
      <c r="AC181" s="1519"/>
      <c r="AD181" s="1519"/>
      <c r="AE181" s="1519"/>
      <c r="AF181" s="1519"/>
      <c r="AG181" s="1519"/>
      <c r="AH181" s="1521"/>
    </row>
    <row r="182" spans="1:36" ht="12.95" customHeight="1" x14ac:dyDescent="0.25">
      <c r="A182" s="574" t="s">
        <v>535</v>
      </c>
      <c r="B182" s="93" t="s">
        <v>211</v>
      </c>
      <c r="C182" s="1109" t="s">
        <v>444</v>
      </c>
      <c r="D182" s="97">
        <v>1</v>
      </c>
      <c r="E182" s="97">
        <v>1</v>
      </c>
      <c r="F182" s="97">
        <v>1</v>
      </c>
      <c r="G182" s="97">
        <v>1</v>
      </c>
      <c r="H182" s="97">
        <f>ROUND((F182/G182),2)</f>
        <v>1</v>
      </c>
      <c r="I182" s="490">
        <v>0</v>
      </c>
      <c r="J182" s="490">
        <v>30</v>
      </c>
      <c r="K182" s="491">
        <v>60</v>
      </c>
      <c r="L182" s="98">
        <v>0.01</v>
      </c>
      <c r="M182" s="98">
        <v>0.01</v>
      </c>
      <c r="N182" s="97">
        <v>4</v>
      </c>
      <c r="O182" s="97">
        <v>6</v>
      </c>
      <c r="P182" s="97">
        <v>20</v>
      </c>
      <c r="Q182" s="97">
        <v>1</v>
      </c>
      <c r="R182" s="96">
        <v>1</v>
      </c>
      <c r="S182" s="97">
        <v>2</v>
      </c>
      <c r="T182" s="96">
        <v>4</v>
      </c>
      <c r="U182" s="96">
        <v>4</v>
      </c>
      <c r="V182" s="108">
        <f>ROUND((R182*N182+T182*L182+Q182*D182),4)</f>
        <v>5.04</v>
      </c>
      <c r="W182" s="109">
        <f>ROUND((S182*O182+U182*L182+Q182*D182),4)</f>
        <v>13.04</v>
      </c>
      <c r="X182" s="109">
        <f>ROUND((S182*P182+U182*L182+Q182*D182),4)</f>
        <v>41.04</v>
      </c>
      <c r="Y182" s="109">
        <f>ROUND((T182*M182+Q182*E182),4)</f>
        <v>1.04</v>
      </c>
      <c r="Z182" s="109">
        <f>ROUND((U182*M182+Q182*E182),4)</f>
        <v>1.04</v>
      </c>
      <c r="AA182" s="109">
        <f>ROUND((U182*M182+Q182*E182),4)</f>
        <v>1.04</v>
      </c>
      <c r="AB182" s="109">
        <f>ROUND((H182*(V182+Y182)*G182*I182/1000000),4)</f>
        <v>0</v>
      </c>
      <c r="AC182" s="109">
        <f>ROUND((H182*(W182+Z182)*G182*J182/1000000),4)</f>
        <v>4.0000000000000002E-4</v>
      </c>
      <c r="AD182" s="109">
        <f>ROUND((H182*(X182+AA182)*G182*K182/1000000),4)</f>
        <v>2.5000000000000001E-3</v>
      </c>
      <c r="AE182" s="103" t="s">
        <v>48</v>
      </c>
      <c r="AF182" s="104" t="s">
        <v>49</v>
      </c>
      <c r="AG182" s="105">
        <f>ROUND(((X182*F182/3600)*0.8),4)</f>
        <v>9.1000000000000004E-3</v>
      </c>
      <c r="AH182" s="105">
        <f>ROUND(((AB182+AC182+AD182)*0.8),4)</f>
        <v>2.3E-3</v>
      </c>
    </row>
    <row r="183" spans="1:36" ht="12.95" customHeight="1" x14ac:dyDescent="0.25">
      <c r="A183" s="575" t="s">
        <v>166</v>
      </c>
      <c r="B183" s="94" t="s">
        <v>212</v>
      </c>
      <c r="C183" s="1110"/>
      <c r="D183" s="94"/>
      <c r="E183" s="94"/>
      <c r="F183" s="94"/>
      <c r="G183" s="94"/>
      <c r="H183" s="94"/>
      <c r="I183" s="94"/>
      <c r="J183" s="94"/>
      <c r="K183" s="94"/>
      <c r="L183" s="99"/>
      <c r="M183" s="99"/>
      <c r="N183" s="94"/>
      <c r="O183" s="94"/>
      <c r="P183" s="94"/>
      <c r="Q183" s="101"/>
      <c r="R183" s="101"/>
      <c r="S183" s="102"/>
      <c r="T183" s="101"/>
      <c r="U183" s="101"/>
      <c r="V183" s="110"/>
      <c r="W183" s="111"/>
      <c r="X183" s="111"/>
      <c r="Y183" s="111"/>
      <c r="Z183" s="111"/>
      <c r="AA183" s="111"/>
      <c r="AB183" s="111"/>
      <c r="AC183" s="111"/>
      <c r="AD183" s="111"/>
      <c r="AE183" s="103" t="s">
        <v>51</v>
      </c>
      <c r="AF183" s="104" t="s">
        <v>52</v>
      </c>
      <c r="AG183" s="105">
        <f>ROUND(((X182*F182/3600)*0.13),4)</f>
        <v>1.5E-3</v>
      </c>
      <c r="AH183" s="105">
        <f>ROUND(((AB182+AC182+AD182)*0.13),4)</f>
        <v>4.0000000000000002E-4</v>
      </c>
    </row>
    <row r="184" spans="1:36" ht="12.95" customHeight="1" x14ac:dyDescent="0.25">
      <c r="A184" s="576"/>
      <c r="B184" s="95" t="s">
        <v>491</v>
      </c>
      <c r="C184" s="95"/>
      <c r="D184" s="94"/>
      <c r="E184" s="94"/>
      <c r="F184" s="94"/>
      <c r="G184" s="94"/>
      <c r="H184" s="94"/>
      <c r="I184" s="94"/>
      <c r="J184" s="94"/>
      <c r="K184" s="94"/>
      <c r="L184" s="99"/>
      <c r="M184" s="99"/>
      <c r="N184" s="94"/>
      <c r="O184" s="94"/>
      <c r="P184" s="94"/>
      <c r="Q184" s="105">
        <v>0.1</v>
      </c>
      <c r="R184" s="106">
        <v>0.113</v>
      </c>
      <c r="S184" s="107">
        <v>0.13600000000000001</v>
      </c>
      <c r="T184" s="106">
        <v>0.54</v>
      </c>
      <c r="U184" s="106">
        <v>0.67</v>
      </c>
      <c r="V184" s="108">
        <f>ROUND((R184*N182+T184*L182+Q184*D182),4)</f>
        <v>0.55740000000000001</v>
      </c>
      <c r="W184" s="109">
        <f>ROUND((S184*0.9*O182+U184*0.9*L182+Q184*D182),4)</f>
        <v>0.84040000000000004</v>
      </c>
      <c r="X184" s="109">
        <f>ROUND((S184*P182+U184*L182+Q184*D182),4)</f>
        <v>2.8267000000000002</v>
      </c>
      <c r="Y184" s="109">
        <f>ROUND((T184*M182+Q184*E182),4)</f>
        <v>0.10539999999999999</v>
      </c>
      <c r="Z184" s="109">
        <f>ROUND((U184*0.9*M182+Q184*E182),4)</f>
        <v>0.106</v>
      </c>
      <c r="AA184" s="109">
        <f>ROUND((U184*M182+Q184*E182),4)</f>
        <v>0.1067</v>
      </c>
      <c r="AB184" s="109">
        <f>ROUND((H182*(V184+Y184)*G182*I182/1000000),5)</f>
        <v>0</v>
      </c>
      <c r="AC184" s="109">
        <f>ROUND((H182*(W184+Z184)*G182*J182/1000000),5)</f>
        <v>3.0000000000000001E-5</v>
      </c>
      <c r="AD184" s="109">
        <f>ROUND((H182*(X184+AA184)*G182*K182/1000000),5)</f>
        <v>1.8000000000000001E-4</v>
      </c>
      <c r="AE184" s="103" t="s">
        <v>56</v>
      </c>
      <c r="AF184" s="104" t="s">
        <v>57</v>
      </c>
      <c r="AG184" s="105">
        <f>ROUND(((X184*F182/3600)),4)</f>
        <v>8.0000000000000004E-4</v>
      </c>
      <c r="AH184" s="105">
        <f>AB184+AC184+AD184</f>
        <v>2.1000000000000001E-4</v>
      </c>
    </row>
    <row r="185" spans="1:36" ht="12.95" customHeight="1" x14ac:dyDescent="0.25">
      <c r="A185" s="576"/>
      <c r="B185" s="166"/>
      <c r="C185" s="94"/>
      <c r="D185" s="94"/>
      <c r="E185" s="94"/>
      <c r="F185" s="94"/>
      <c r="G185" s="94"/>
      <c r="H185" s="94"/>
      <c r="I185" s="94"/>
      <c r="J185" s="94"/>
      <c r="K185" s="94"/>
      <c r="L185" s="99"/>
      <c r="M185" s="99"/>
      <c r="N185" s="94"/>
      <c r="O185" s="94"/>
      <c r="P185" s="94"/>
      <c r="Q185" s="105">
        <v>0.45</v>
      </c>
      <c r="R185" s="106">
        <v>0.4</v>
      </c>
      <c r="S185" s="105">
        <v>1.1000000000000001</v>
      </c>
      <c r="T185" s="106">
        <v>1</v>
      </c>
      <c r="U185" s="106">
        <v>1.2</v>
      </c>
      <c r="V185" s="108">
        <f>ROUND((R185*N182+T185*L182+Q185*D182),4)</f>
        <v>2.06</v>
      </c>
      <c r="W185" s="109">
        <f>ROUND((S185*0.9*O182+U185*0.9*L182+Q185*D182),4)</f>
        <v>6.4008000000000003</v>
      </c>
      <c r="X185" s="109">
        <f>ROUND((S185*P182+U185*L182+Q185*D182),4)</f>
        <v>22.462</v>
      </c>
      <c r="Y185" s="109">
        <f>ROUND((T185*M182+Q185*E182),4)</f>
        <v>0.46</v>
      </c>
      <c r="Z185" s="109">
        <f>ROUND((U185*0.9*M182+Q185*E182),4)</f>
        <v>0.46079999999999999</v>
      </c>
      <c r="AA185" s="109">
        <f>ROUND((U185*M182+Q185*E182),4)</f>
        <v>0.46200000000000002</v>
      </c>
      <c r="AB185" s="109">
        <f>ROUND((H182*(V185+Y185)*G182*I182/1000000),4)</f>
        <v>0</v>
      </c>
      <c r="AC185" s="109">
        <f>ROUND((H182*(W185+Z185)*G182*J182/1000000),4)</f>
        <v>2.0000000000000001E-4</v>
      </c>
      <c r="AD185" s="109">
        <f>ROUND((H182*(X185+AA185)*G182*K182/1000000),4)</f>
        <v>1.4E-3</v>
      </c>
      <c r="AE185" s="103" t="s">
        <v>177</v>
      </c>
      <c r="AF185" s="104" t="s">
        <v>178</v>
      </c>
      <c r="AG185" s="105">
        <f>ROUND(((X185*F182/3600)),4)</f>
        <v>6.1999999999999998E-3</v>
      </c>
      <c r="AH185" s="105">
        <f>AB185+AC185+AD185</f>
        <v>1.6000000000000001E-3</v>
      </c>
    </row>
    <row r="186" spans="1:36" ht="12.95" customHeight="1" x14ac:dyDescent="0.25">
      <c r="A186" s="577"/>
      <c r="B186" s="94"/>
      <c r="C186" s="94"/>
      <c r="D186" s="94"/>
      <c r="E186" s="94"/>
      <c r="F186" s="94"/>
      <c r="G186" s="94"/>
      <c r="H186" s="94"/>
      <c r="I186" s="94"/>
      <c r="J186" s="94"/>
      <c r="K186" s="94"/>
      <c r="L186" s="99"/>
      <c r="M186" s="99"/>
      <c r="N186" s="94"/>
      <c r="O186" s="94"/>
      <c r="P186" s="94"/>
      <c r="Q186" s="105">
        <v>2.9</v>
      </c>
      <c r="R186" s="106">
        <v>3</v>
      </c>
      <c r="S186" s="105">
        <v>8.1999999999999993</v>
      </c>
      <c r="T186" s="106">
        <v>6.1</v>
      </c>
      <c r="U186" s="106">
        <v>7.4</v>
      </c>
      <c r="V186" s="167">
        <f>ROUND((R186*N182+T186*L182+Q186*D182),4)</f>
        <v>14.961</v>
      </c>
      <c r="W186" s="168">
        <f>ROUND((S186*0.9*O182+U186*0.9*L182+Q186*D182),4)</f>
        <v>47.246600000000001</v>
      </c>
      <c r="X186" s="168">
        <f>ROUND((S186*P182+U186*L182+Q186*D182),4)</f>
        <v>166.97399999999999</v>
      </c>
      <c r="Y186" s="168">
        <f>ROUND((T186*M182+Q186*E182),4)</f>
        <v>2.9609999999999999</v>
      </c>
      <c r="Z186" s="168">
        <f>ROUND((U186*0.9*M182+Q186*E182),4)</f>
        <v>2.9666000000000001</v>
      </c>
      <c r="AA186" s="168">
        <f>ROUND((U186*M182+Q186*E182),4)</f>
        <v>2.9740000000000002</v>
      </c>
      <c r="AB186" s="168">
        <f>ROUND((H182*(V186+Y186)*G182*I182/1000000),4)</f>
        <v>0</v>
      </c>
      <c r="AC186" s="168">
        <f>ROUND((H182*(W186+Z186)*G182*J182/1000000),4)</f>
        <v>1.5E-3</v>
      </c>
      <c r="AD186" s="168">
        <f>ROUND((H182*(X186+AA186)*G182*K182/1000000),4)</f>
        <v>1.0200000000000001E-2</v>
      </c>
      <c r="AE186" s="103" t="s">
        <v>65</v>
      </c>
      <c r="AF186" s="104" t="s">
        <v>66</v>
      </c>
      <c r="AG186" s="105">
        <f>ROUND(((X186*F182/3600)),4)</f>
        <v>4.6399999999999997E-2</v>
      </c>
      <c r="AH186" s="105">
        <f>AB186+AC186+AD186</f>
        <v>1.17E-2</v>
      </c>
    </row>
    <row r="187" spans="1:36" ht="12.95" customHeight="1" x14ac:dyDescent="0.25">
      <c r="A187" s="58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2"/>
      <c r="M187" s="102"/>
      <c r="N187" s="101"/>
      <c r="O187" s="101"/>
      <c r="P187" s="101"/>
      <c r="Q187" s="105">
        <v>0.04</v>
      </c>
      <c r="R187" s="106">
        <v>0.04</v>
      </c>
      <c r="S187" s="105">
        <v>0.16</v>
      </c>
      <c r="T187" s="106">
        <v>0.3</v>
      </c>
      <c r="U187" s="106">
        <v>0.4</v>
      </c>
      <c r="V187" s="167">
        <f>ROUND((R187*N182+T187*L182+Q187*D182),4)</f>
        <v>0.20300000000000001</v>
      </c>
      <c r="W187" s="168">
        <f>ROUND((S187*0.9*O182+U187*0.9*L182+Q187*D182),4)</f>
        <v>0.90759999999999996</v>
      </c>
      <c r="X187" s="168">
        <f>ROUND((S187*P182+U187*L182+Q187*D182),4)</f>
        <v>3.2440000000000002</v>
      </c>
      <c r="Y187" s="168">
        <f>ROUND((T187*M182+Q187*E182),4)</f>
        <v>4.2999999999999997E-2</v>
      </c>
      <c r="Z187" s="168">
        <f>ROUND((U187*0.9*M182+Q187*E182),4)</f>
        <v>4.36E-2</v>
      </c>
      <c r="AA187" s="168">
        <f>ROUND((U187*M182+Q187*E182),4)</f>
        <v>4.3999999999999997E-2</v>
      </c>
      <c r="AB187" s="168">
        <f>ROUND((H182*(V187+Y187)*G182*I182/1000000),5)</f>
        <v>0</v>
      </c>
      <c r="AC187" s="168">
        <f>ROUND((H182*(W187+Z187)*G182*J182/1000000),5)</f>
        <v>3.0000000000000001E-5</v>
      </c>
      <c r="AD187" s="168">
        <f>ROUND((H182*(X187+AA187)*G182*K182/1000000),4)</f>
        <v>2.0000000000000001E-4</v>
      </c>
      <c r="AE187" s="103" t="s">
        <v>213</v>
      </c>
      <c r="AF187" s="104" t="s">
        <v>62</v>
      </c>
      <c r="AG187" s="105">
        <f>ROUND(((X187*F182/3600)),4)</f>
        <v>8.9999999999999998E-4</v>
      </c>
      <c r="AH187" s="105">
        <f>AB187+AC187+AD187</f>
        <v>2.3000000000000001E-4</v>
      </c>
      <c r="AI187" s="61">
        <f>SUM(AG182:AG187)</f>
        <v>6.4899999999999999E-2</v>
      </c>
      <c r="AJ187" s="61">
        <f>SUM(AH182:AH187)</f>
        <v>1.6440000000000003E-2</v>
      </c>
    </row>
    <row r="188" spans="1:36" ht="12.95" customHeight="1" x14ac:dyDescent="0.25">
      <c r="A188" s="1518" t="s">
        <v>691</v>
      </c>
      <c r="B188" s="1519"/>
      <c r="C188" s="1519"/>
      <c r="D188" s="1519"/>
      <c r="E188" s="1519"/>
      <c r="F188" s="1519"/>
      <c r="G188" s="1519"/>
      <c r="H188" s="1519"/>
      <c r="I188" s="1519"/>
      <c r="J188" s="1519"/>
      <c r="K188" s="1519"/>
      <c r="L188" s="1519"/>
      <c r="M188" s="1519"/>
      <c r="N188" s="1519"/>
      <c r="O188" s="1519"/>
      <c r="P188" s="1519"/>
      <c r="Q188" s="1519"/>
      <c r="R188" s="1519"/>
      <c r="S188" s="1519"/>
      <c r="T188" s="1520"/>
      <c r="U188" s="1520"/>
      <c r="V188" s="1519"/>
      <c r="W188" s="1519"/>
      <c r="X188" s="1519"/>
      <c r="Y188" s="1519"/>
      <c r="Z188" s="1519"/>
      <c r="AA188" s="1519"/>
      <c r="AB188" s="1519"/>
      <c r="AC188" s="1519"/>
      <c r="AD188" s="1519"/>
      <c r="AE188" s="1519"/>
      <c r="AF188" s="1519"/>
      <c r="AG188" s="1519"/>
      <c r="AH188" s="1521"/>
    </row>
    <row r="189" spans="1:36" ht="12.95" customHeight="1" x14ac:dyDescent="0.25">
      <c r="A189" s="574" t="s">
        <v>539</v>
      </c>
      <c r="B189" s="93" t="s">
        <v>211</v>
      </c>
      <c r="C189" s="1109" t="s">
        <v>444</v>
      </c>
      <c r="D189" s="97">
        <v>1</v>
      </c>
      <c r="E189" s="97">
        <v>1</v>
      </c>
      <c r="F189" s="97">
        <v>1</v>
      </c>
      <c r="G189" s="97">
        <v>1</v>
      </c>
      <c r="H189" s="97">
        <f>ROUND((F189/G189),2)</f>
        <v>1</v>
      </c>
      <c r="I189" s="490">
        <v>0</v>
      </c>
      <c r="J189" s="490">
        <v>30</v>
      </c>
      <c r="K189" s="491">
        <v>60</v>
      </c>
      <c r="L189" s="98">
        <v>0.01</v>
      </c>
      <c r="M189" s="98">
        <v>0.01</v>
      </c>
      <c r="N189" s="97">
        <v>4</v>
      </c>
      <c r="O189" s="97">
        <v>6</v>
      </c>
      <c r="P189" s="97">
        <v>20</v>
      </c>
      <c r="Q189" s="97">
        <v>1</v>
      </c>
      <c r="R189" s="96">
        <v>1</v>
      </c>
      <c r="S189" s="97">
        <v>2</v>
      </c>
      <c r="T189" s="96">
        <v>4</v>
      </c>
      <c r="U189" s="96">
        <v>4</v>
      </c>
      <c r="V189" s="108">
        <f>ROUND((R189*N189+T189*L189+Q189*D189),4)</f>
        <v>5.04</v>
      </c>
      <c r="W189" s="109">
        <f>ROUND((S189*O189+U189*L189+Q189*D189),4)</f>
        <v>13.04</v>
      </c>
      <c r="X189" s="109">
        <f>ROUND((S189*P189+U189*L189+Q189*D189),4)</f>
        <v>41.04</v>
      </c>
      <c r="Y189" s="109">
        <f>ROUND((T189*M189+Q189*E189),4)</f>
        <v>1.04</v>
      </c>
      <c r="Z189" s="109">
        <f>ROUND((U189*M189+Q189*E189),4)</f>
        <v>1.04</v>
      </c>
      <c r="AA189" s="109">
        <f>ROUND((U189*M189+Q189*E189),4)</f>
        <v>1.04</v>
      </c>
      <c r="AB189" s="109">
        <f>ROUND((H189*(V189+Y189)*G189*I189/1000000),4)</f>
        <v>0</v>
      </c>
      <c r="AC189" s="109">
        <f>ROUND((H189*(W189+Z189)*G189*J189/1000000),4)</f>
        <v>4.0000000000000002E-4</v>
      </c>
      <c r="AD189" s="109">
        <f>ROUND((H189*(X189+AA189)*G189*K189/1000000),4)</f>
        <v>2.5000000000000001E-3</v>
      </c>
      <c r="AE189" s="103" t="s">
        <v>48</v>
      </c>
      <c r="AF189" s="104" t="s">
        <v>49</v>
      </c>
      <c r="AG189" s="105">
        <f>ROUND(((X189*F189/3600)*0.8),4)</f>
        <v>9.1000000000000004E-3</v>
      </c>
      <c r="AH189" s="105">
        <f>ROUND(((AB189+AC189+AD189)*0.8),4)</f>
        <v>2.3E-3</v>
      </c>
    </row>
    <row r="190" spans="1:36" ht="12.95" customHeight="1" x14ac:dyDescent="0.25">
      <c r="A190" s="575" t="s">
        <v>166</v>
      </c>
      <c r="B190" s="94" t="s">
        <v>212</v>
      </c>
      <c r="C190" s="1110"/>
      <c r="D190" s="94"/>
      <c r="E190" s="94"/>
      <c r="F190" s="94"/>
      <c r="G190" s="94"/>
      <c r="H190" s="94"/>
      <c r="I190" s="94"/>
      <c r="J190" s="94"/>
      <c r="K190" s="94"/>
      <c r="L190" s="99"/>
      <c r="M190" s="99"/>
      <c r="N190" s="94"/>
      <c r="O190" s="94"/>
      <c r="P190" s="94"/>
      <c r="Q190" s="101"/>
      <c r="R190" s="101"/>
      <c r="S190" s="102"/>
      <c r="T190" s="101"/>
      <c r="U190" s="101"/>
      <c r="V190" s="110"/>
      <c r="W190" s="111"/>
      <c r="X190" s="111"/>
      <c r="Y190" s="111"/>
      <c r="Z190" s="111"/>
      <c r="AA190" s="111"/>
      <c r="AB190" s="111"/>
      <c r="AC190" s="111"/>
      <c r="AD190" s="111"/>
      <c r="AE190" s="103" t="s">
        <v>51</v>
      </c>
      <c r="AF190" s="104" t="s">
        <v>52</v>
      </c>
      <c r="AG190" s="105">
        <f>ROUND(((X189*F189/3600)*0.13),4)</f>
        <v>1.5E-3</v>
      </c>
      <c r="AH190" s="105">
        <f>ROUND(((AB189+AC189+AD189)*0.13),4)</f>
        <v>4.0000000000000002E-4</v>
      </c>
    </row>
    <row r="191" spans="1:36" ht="12.95" customHeight="1" x14ac:dyDescent="0.25">
      <c r="A191" s="576"/>
      <c r="B191" s="95" t="s">
        <v>491</v>
      </c>
      <c r="C191" s="95"/>
      <c r="D191" s="94"/>
      <c r="E191" s="94"/>
      <c r="F191" s="94"/>
      <c r="G191" s="94"/>
      <c r="H191" s="94"/>
      <c r="I191" s="94"/>
      <c r="J191" s="94"/>
      <c r="K191" s="94"/>
      <c r="L191" s="99"/>
      <c r="M191" s="99"/>
      <c r="N191" s="94"/>
      <c r="O191" s="94"/>
      <c r="P191" s="94"/>
      <c r="Q191" s="105">
        <v>0.1</v>
      </c>
      <c r="R191" s="106">
        <v>0.113</v>
      </c>
      <c r="S191" s="107">
        <v>0.13600000000000001</v>
      </c>
      <c r="T191" s="106">
        <v>0.54</v>
      </c>
      <c r="U191" s="106">
        <v>0.67</v>
      </c>
      <c r="V191" s="108">
        <f>ROUND((R191*N189+T191*L189+Q191*D189),4)</f>
        <v>0.55740000000000001</v>
      </c>
      <c r="W191" s="109">
        <f>ROUND((S191*0.9*O189+U191*0.9*L189+Q191*D189),4)</f>
        <v>0.84040000000000004</v>
      </c>
      <c r="X191" s="109">
        <f>ROUND((S191*P189+U191*L189+Q191*D189),4)</f>
        <v>2.8267000000000002</v>
      </c>
      <c r="Y191" s="109">
        <f>ROUND((T191*M189+Q191*E189),4)</f>
        <v>0.10539999999999999</v>
      </c>
      <c r="Z191" s="109">
        <f>ROUND((U191*0.9*M189+Q191*E189),4)</f>
        <v>0.106</v>
      </c>
      <c r="AA191" s="109">
        <f>ROUND((U191*M189+Q191*E189),4)</f>
        <v>0.1067</v>
      </c>
      <c r="AB191" s="109">
        <f>ROUND((H189*(V191+Y191)*G189*I189/1000000),5)</f>
        <v>0</v>
      </c>
      <c r="AC191" s="109">
        <f>ROUND((H189*(W191+Z191)*G189*J189/1000000),5)</f>
        <v>3.0000000000000001E-5</v>
      </c>
      <c r="AD191" s="109">
        <f>ROUND((H189*(X191+AA191)*G189*K189/1000000),5)</f>
        <v>1.8000000000000001E-4</v>
      </c>
      <c r="AE191" s="103" t="s">
        <v>56</v>
      </c>
      <c r="AF191" s="104" t="s">
        <v>57</v>
      </c>
      <c r="AG191" s="105">
        <f>ROUND(((X191*F189/3600)),4)</f>
        <v>8.0000000000000004E-4</v>
      </c>
      <c r="AH191" s="105">
        <f>AB191+AC191+AD191</f>
        <v>2.1000000000000001E-4</v>
      </c>
    </row>
    <row r="192" spans="1:36" ht="12.95" customHeight="1" x14ac:dyDescent="0.25">
      <c r="A192" s="576"/>
      <c r="B192" s="166"/>
      <c r="C192" s="94"/>
      <c r="D192" s="94"/>
      <c r="E192" s="94"/>
      <c r="F192" s="94"/>
      <c r="G192" s="94"/>
      <c r="H192" s="94"/>
      <c r="I192" s="94"/>
      <c r="J192" s="94"/>
      <c r="K192" s="94"/>
      <c r="L192" s="99"/>
      <c r="M192" s="99"/>
      <c r="N192" s="94"/>
      <c r="O192" s="94"/>
      <c r="P192" s="94"/>
      <c r="Q192" s="105">
        <v>0.45</v>
      </c>
      <c r="R192" s="106">
        <v>0.4</v>
      </c>
      <c r="S192" s="105">
        <v>1.1000000000000001</v>
      </c>
      <c r="T192" s="106">
        <v>1</v>
      </c>
      <c r="U192" s="106">
        <v>1.2</v>
      </c>
      <c r="V192" s="108">
        <f>ROUND((R192*N189+T192*L189+Q192*D189),4)</f>
        <v>2.06</v>
      </c>
      <c r="W192" s="109">
        <f>ROUND((S192*0.9*O189+U192*0.9*L189+Q192*D189),4)</f>
        <v>6.4008000000000003</v>
      </c>
      <c r="X192" s="109">
        <f>ROUND((S192*P189+U192*L189+Q192*D189),4)</f>
        <v>22.462</v>
      </c>
      <c r="Y192" s="109">
        <f>ROUND((T192*M189+Q192*E189),4)</f>
        <v>0.46</v>
      </c>
      <c r="Z192" s="109">
        <f>ROUND((U192*0.9*M189+Q192*E189),4)</f>
        <v>0.46079999999999999</v>
      </c>
      <c r="AA192" s="109">
        <f>ROUND((U192*M189+Q192*E189),4)</f>
        <v>0.46200000000000002</v>
      </c>
      <c r="AB192" s="109">
        <f>ROUND((H189*(V192+Y192)*G189*I189/1000000),4)</f>
        <v>0</v>
      </c>
      <c r="AC192" s="109">
        <f>ROUND((H189*(W192+Z192)*G189*J189/1000000),4)</f>
        <v>2.0000000000000001E-4</v>
      </c>
      <c r="AD192" s="109">
        <f>ROUND((H189*(X192+AA192)*G189*K189/1000000),4)</f>
        <v>1.4E-3</v>
      </c>
      <c r="AE192" s="103" t="s">
        <v>177</v>
      </c>
      <c r="AF192" s="104" t="s">
        <v>178</v>
      </c>
      <c r="AG192" s="105">
        <f>ROUND(((X192*F189/3600)),4)</f>
        <v>6.1999999999999998E-3</v>
      </c>
      <c r="AH192" s="105">
        <f>AB192+AC192+AD192</f>
        <v>1.6000000000000001E-3</v>
      </c>
    </row>
    <row r="193" spans="1:36" ht="12.95" customHeight="1" x14ac:dyDescent="0.25">
      <c r="A193" s="577"/>
      <c r="B193" s="94"/>
      <c r="C193" s="94"/>
      <c r="D193" s="94"/>
      <c r="E193" s="94"/>
      <c r="F193" s="94"/>
      <c r="G193" s="94"/>
      <c r="H193" s="94"/>
      <c r="I193" s="94"/>
      <c r="J193" s="94"/>
      <c r="K193" s="94"/>
      <c r="L193" s="99"/>
      <c r="M193" s="99"/>
      <c r="N193" s="94"/>
      <c r="O193" s="94"/>
      <c r="P193" s="94"/>
      <c r="Q193" s="105">
        <v>2.9</v>
      </c>
      <c r="R193" s="106">
        <v>3</v>
      </c>
      <c r="S193" s="105">
        <v>8.1999999999999993</v>
      </c>
      <c r="T193" s="106">
        <v>6.1</v>
      </c>
      <c r="U193" s="106">
        <v>7.4</v>
      </c>
      <c r="V193" s="167">
        <f>ROUND((R193*N189+T193*L189+Q193*D189),4)</f>
        <v>14.961</v>
      </c>
      <c r="W193" s="168">
        <f>ROUND((S193*0.9*O189+U193*0.9*L189+Q193*D189),4)</f>
        <v>47.246600000000001</v>
      </c>
      <c r="X193" s="168">
        <f>ROUND((S193*P189+U193*L189+Q193*D189),4)</f>
        <v>166.97399999999999</v>
      </c>
      <c r="Y193" s="168">
        <f>ROUND((T193*M189+Q193*E189),4)</f>
        <v>2.9609999999999999</v>
      </c>
      <c r="Z193" s="168">
        <f>ROUND((U193*0.9*M189+Q193*E189),4)</f>
        <v>2.9666000000000001</v>
      </c>
      <c r="AA193" s="168">
        <f>ROUND((U193*M189+Q193*E189),4)</f>
        <v>2.9740000000000002</v>
      </c>
      <c r="AB193" s="168">
        <f>ROUND((H189*(V193+Y193)*G189*I189/1000000),4)</f>
        <v>0</v>
      </c>
      <c r="AC193" s="168">
        <f>ROUND((H189*(W193+Z193)*G189*J189/1000000),4)</f>
        <v>1.5E-3</v>
      </c>
      <c r="AD193" s="168">
        <f>ROUND((H189*(X193+AA193)*G189*K189/1000000),4)</f>
        <v>1.0200000000000001E-2</v>
      </c>
      <c r="AE193" s="103" t="s">
        <v>65</v>
      </c>
      <c r="AF193" s="104" t="s">
        <v>66</v>
      </c>
      <c r="AG193" s="105">
        <f>ROUND(((X193*F189/3600)),4)</f>
        <v>4.6399999999999997E-2</v>
      </c>
      <c r="AH193" s="105">
        <f>AB193+AC193+AD193</f>
        <v>1.17E-2</v>
      </c>
    </row>
    <row r="194" spans="1:36" ht="12.95" customHeight="1" x14ac:dyDescent="0.25">
      <c r="A194" s="58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2"/>
      <c r="M194" s="102"/>
      <c r="N194" s="101"/>
      <c r="O194" s="101"/>
      <c r="P194" s="101"/>
      <c r="Q194" s="105">
        <v>0.04</v>
      </c>
      <c r="R194" s="106">
        <v>0.04</v>
      </c>
      <c r="S194" s="105">
        <v>0.16</v>
      </c>
      <c r="T194" s="106">
        <v>0.3</v>
      </c>
      <c r="U194" s="106">
        <v>0.4</v>
      </c>
      <c r="V194" s="167">
        <f>ROUND((R194*N189+T194*L189+Q194*D189),4)</f>
        <v>0.20300000000000001</v>
      </c>
      <c r="W194" s="168">
        <f>ROUND((S194*0.9*O189+U194*0.9*L189+Q194*D189),4)</f>
        <v>0.90759999999999996</v>
      </c>
      <c r="X194" s="168">
        <f>ROUND((S194*P189+U194*L189+Q194*D189),4)</f>
        <v>3.2440000000000002</v>
      </c>
      <c r="Y194" s="168">
        <f>ROUND((T194*M189+Q194*E189),4)</f>
        <v>4.2999999999999997E-2</v>
      </c>
      <c r="Z194" s="168">
        <f>ROUND((U194*0.9*M189+Q194*E189),4)</f>
        <v>4.36E-2</v>
      </c>
      <c r="AA194" s="168">
        <f>ROUND((U194*M189+Q194*E189),4)</f>
        <v>4.3999999999999997E-2</v>
      </c>
      <c r="AB194" s="168">
        <f>ROUND((H189*(V194+Y194)*G189*I189/1000000),5)</f>
        <v>0</v>
      </c>
      <c r="AC194" s="168">
        <f>ROUND((H189*(W194+Z194)*G189*J189/1000000),5)</f>
        <v>3.0000000000000001E-5</v>
      </c>
      <c r="AD194" s="168">
        <f>ROUND((H189*(X194+AA194)*G189*K189/1000000),4)</f>
        <v>2.0000000000000001E-4</v>
      </c>
      <c r="AE194" s="103" t="s">
        <v>213</v>
      </c>
      <c r="AF194" s="104" t="s">
        <v>62</v>
      </c>
      <c r="AG194" s="105">
        <f>ROUND(((X194*F189/3600)),4)</f>
        <v>8.9999999999999998E-4</v>
      </c>
      <c r="AH194" s="105">
        <f>AB194+AC194+AD194</f>
        <v>2.3000000000000001E-4</v>
      </c>
      <c r="AI194" s="61">
        <f>SUM(AG189:AG194)</f>
        <v>6.4899999999999999E-2</v>
      </c>
      <c r="AJ194" s="61">
        <f>SUM(AH189:AH194)</f>
        <v>1.6440000000000003E-2</v>
      </c>
    </row>
    <row r="195" spans="1:36" ht="12.95" customHeight="1" x14ac:dyDescent="0.25">
      <c r="A195" s="1518" t="s">
        <v>692</v>
      </c>
      <c r="B195" s="1519"/>
      <c r="C195" s="1519"/>
      <c r="D195" s="1519"/>
      <c r="E195" s="1519"/>
      <c r="F195" s="1519"/>
      <c r="G195" s="1519"/>
      <c r="H195" s="1519"/>
      <c r="I195" s="1519"/>
      <c r="J195" s="1519"/>
      <c r="K195" s="1519"/>
      <c r="L195" s="1519"/>
      <c r="M195" s="1519"/>
      <c r="N195" s="1519"/>
      <c r="O195" s="1519"/>
      <c r="P195" s="1519"/>
      <c r="Q195" s="1519"/>
      <c r="R195" s="1519"/>
      <c r="S195" s="1519"/>
      <c r="T195" s="1520"/>
      <c r="U195" s="1520"/>
      <c r="V195" s="1519"/>
      <c r="W195" s="1519"/>
      <c r="X195" s="1519"/>
      <c r="Y195" s="1519"/>
      <c r="Z195" s="1519"/>
      <c r="AA195" s="1519"/>
      <c r="AB195" s="1519"/>
      <c r="AC195" s="1519"/>
      <c r="AD195" s="1519"/>
      <c r="AE195" s="1519"/>
      <c r="AF195" s="1519"/>
      <c r="AG195" s="1519"/>
      <c r="AH195" s="1521"/>
    </row>
    <row r="196" spans="1:36" ht="12.95" customHeight="1" x14ac:dyDescent="0.25">
      <c r="A196" s="574" t="s">
        <v>541</v>
      </c>
      <c r="B196" s="93" t="s">
        <v>211</v>
      </c>
      <c r="C196" s="1109" t="s">
        <v>444</v>
      </c>
      <c r="D196" s="97">
        <v>1</v>
      </c>
      <c r="E196" s="97">
        <v>1</v>
      </c>
      <c r="F196" s="97">
        <v>1</v>
      </c>
      <c r="G196" s="97">
        <v>1</v>
      </c>
      <c r="H196" s="97">
        <f>ROUND((F196/G196),2)</f>
        <v>1</v>
      </c>
      <c r="I196" s="490">
        <v>0</v>
      </c>
      <c r="J196" s="490">
        <v>30</v>
      </c>
      <c r="K196" s="491">
        <v>60</v>
      </c>
      <c r="L196" s="98">
        <v>0.01</v>
      </c>
      <c r="M196" s="98">
        <v>0.01</v>
      </c>
      <c r="N196" s="97">
        <v>4</v>
      </c>
      <c r="O196" s="97">
        <v>6</v>
      </c>
      <c r="P196" s="97">
        <v>20</v>
      </c>
      <c r="Q196" s="97">
        <v>1</v>
      </c>
      <c r="R196" s="96">
        <v>1</v>
      </c>
      <c r="S196" s="97">
        <v>2</v>
      </c>
      <c r="T196" s="96">
        <v>4</v>
      </c>
      <c r="U196" s="96">
        <v>4</v>
      </c>
      <c r="V196" s="108">
        <f>ROUND((R196*N196+T196*L196+Q196*D196),4)</f>
        <v>5.04</v>
      </c>
      <c r="W196" s="109">
        <f>ROUND((S196*O196+U196*L196+Q196*D196),4)</f>
        <v>13.04</v>
      </c>
      <c r="X196" s="109">
        <f>ROUND((S196*P196+U196*L196+Q196*D196),4)</f>
        <v>41.04</v>
      </c>
      <c r="Y196" s="109">
        <f>ROUND((T196*M196+Q196*E196),4)</f>
        <v>1.04</v>
      </c>
      <c r="Z196" s="109">
        <f>ROUND((U196*M196+Q196*E196),4)</f>
        <v>1.04</v>
      </c>
      <c r="AA196" s="109">
        <f>ROUND((U196*M196+Q196*E196),4)</f>
        <v>1.04</v>
      </c>
      <c r="AB196" s="109">
        <f>ROUND((H196*(V196+Y196)*G196*I196/1000000),4)</f>
        <v>0</v>
      </c>
      <c r="AC196" s="109">
        <f>ROUND((H196*(W196+Z196)*G196*J196/1000000),4)</f>
        <v>4.0000000000000002E-4</v>
      </c>
      <c r="AD196" s="109">
        <f>ROUND((H196*(X196+AA196)*G196*K196/1000000),4)</f>
        <v>2.5000000000000001E-3</v>
      </c>
      <c r="AE196" s="103" t="s">
        <v>48</v>
      </c>
      <c r="AF196" s="104" t="s">
        <v>49</v>
      </c>
      <c r="AG196" s="105">
        <f>ROUND(((X196*F196/3600)*0.8),4)</f>
        <v>9.1000000000000004E-3</v>
      </c>
      <c r="AH196" s="105">
        <f>ROUND(((AB196+AC196+AD196)*0.8),4)</f>
        <v>2.3E-3</v>
      </c>
    </row>
    <row r="197" spans="1:36" ht="12.95" customHeight="1" x14ac:dyDescent="0.25">
      <c r="A197" s="575" t="s">
        <v>166</v>
      </c>
      <c r="B197" s="94" t="s">
        <v>212</v>
      </c>
      <c r="C197" s="1110"/>
      <c r="D197" s="94"/>
      <c r="E197" s="94"/>
      <c r="F197" s="94"/>
      <c r="G197" s="94"/>
      <c r="H197" s="94"/>
      <c r="I197" s="94"/>
      <c r="J197" s="94"/>
      <c r="K197" s="94"/>
      <c r="L197" s="99"/>
      <c r="M197" s="99"/>
      <c r="N197" s="94"/>
      <c r="O197" s="94"/>
      <c r="P197" s="94"/>
      <c r="Q197" s="101"/>
      <c r="R197" s="101"/>
      <c r="S197" s="102"/>
      <c r="T197" s="101"/>
      <c r="U197" s="101"/>
      <c r="V197" s="110"/>
      <c r="W197" s="111"/>
      <c r="X197" s="111"/>
      <c r="Y197" s="111"/>
      <c r="Z197" s="111"/>
      <c r="AA197" s="111"/>
      <c r="AB197" s="111"/>
      <c r="AC197" s="111"/>
      <c r="AD197" s="111"/>
      <c r="AE197" s="103" t="s">
        <v>51</v>
      </c>
      <c r="AF197" s="104" t="s">
        <v>52</v>
      </c>
      <c r="AG197" s="105">
        <f>ROUND(((X196*F196/3600)*0.13),4)</f>
        <v>1.5E-3</v>
      </c>
      <c r="AH197" s="105">
        <f>ROUND(((AB196+AC196+AD196)*0.13),4)</f>
        <v>4.0000000000000002E-4</v>
      </c>
    </row>
    <row r="198" spans="1:36" ht="12.95" customHeight="1" x14ac:dyDescent="0.25">
      <c r="A198" s="576"/>
      <c r="B198" s="95" t="s">
        <v>491</v>
      </c>
      <c r="C198" s="95"/>
      <c r="D198" s="94"/>
      <c r="E198" s="94"/>
      <c r="F198" s="94"/>
      <c r="G198" s="94"/>
      <c r="H198" s="94"/>
      <c r="I198" s="94"/>
      <c r="J198" s="94"/>
      <c r="K198" s="94"/>
      <c r="L198" s="99"/>
      <c r="M198" s="99"/>
      <c r="N198" s="94"/>
      <c r="O198" s="94"/>
      <c r="P198" s="94"/>
      <c r="Q198" s="105">
        <v>0.1</v>
      </c>
      <c r="R198" s="106">
        <v>0.113</v>
      </c>
      <c r="S198" s="107">
        <v>0.13600000000000001</v>
      </c>
      <c r="T198" s="106">
        <v>0.54</v>
      </c>
      <c r="U198" s="106">
        <v>0.67</v>
      </c>
      <c r="V198" s="108">
        <f>ROUND((R198*N196+T198*L196+Q198*D196),4)</f>
        <v>0.55740000000000001</v>
      </c>
      <c r="W198" s="109">
        <f>ROUND((S198*0.9*O196+U198*0.9*L196+Q198*D196),4)</f>
        <v>0.84040000000000004</v>
      </c>
      <c r="X198" s="109">
        <f>ROUND((S198*P196+U198*L196+Q198*D196),4)</f>
        <v>2.8267000000000002</v>
      </c>
      <c r="Y198" s="109">
        <f>ROUND((T198*M196+Q198*E196),4)</f>
        <v>0.10539999999999999</v>
      </c>
      <c r="Z198" s="109">
        <f>ROUND((U198*0.9*M196+Q198*E196),4)</f>
        <v>0.106</v>
      </c>
      <c r="AA198" s="109">
        <f>ROUND((U198*M196+Q198*E196),4)</f>
        <v>0.1067</v>
      </c>
      <c r="AB198" s="109">
        <f>ROUND((H196*(V198+Y198)*G196*I196/1000000),5)</f>
        <v>0</v>
      </c>
      <c r="AC198" s="109">
        <f>ROUND((H196*(W198+Z198)*G196*J196/1000000),5)</f>
        <v>3.0000000000000001E-5</v>
      </c>
      <c r="AD198" s="109">
        <f>ROUND((H196*(X198+AA198)*G196*K196/1000000),5)</f>
        <v>1.8000000000000001E-4</v>
      </c>
      <c r="AE198" s="103" t="s">
        <v>56</v>
      </c>
      <c r="AF198" s="104" t="s">
        <v>57</v>
      </c>
      <c r="AG198" s="105">
        <f>ROUND(((X198*F196/3600)),4)</f>
        <v>8.0000000000000004E-4</v>
      </c>
      <c r="AH198" s="105">
        <f>AB198+AC198+AD198</f>
        <v>2.1000000000000001E-4</v>
      </c>
    </row>
    <row r="199" spans="1:36" ht="12.95" customHeight="1" x14ac:dyDescent="0.25">
      <c r="A199" s="576"/>
      <c r="B199" s="166"/>
      <c r="C199" s="94"/>
      <c r="D199" s="94"/>
      <c r="E199" s="94"/>
      <c r="F199" s="94"/>
      <c r="G199" s="94"/>
      <c r="H199" s="94"/>
      <c r="I199" s="94"/>
      <c r="J199" s="94"/>
      <c r="K199" s="94"/>
      <c r="L199" s="99"/>
      <c r="M199" s="99"/>
      <c r="N199" s="94"/>
      <c r="O199" s="94"/>
      <c r="P199" s="94"/>
      <c r="Q199" s="105">
        <v>0.45</v>
      </c>
      <c r="R199" s="106">
        <v>0.4</v>
      </c>
      <c r="S199" s="105">
        <v>1.1000000000000001</v>
      </c>
      <c r="T199" s="106">
        <v>1</v>
      </c>
      <c r="U199" s="106">
        <v>1.2</v>
      </c>
      <c r="V199" s="108">
        <f>ROUND((R199*N196+T199*L196+Q199*D196),4)</f>
        <v>2.06</v>
      </c>
      <c r="W199" s="109">
        <f>ROUND((S199*0.9*O196+U199*0.9*L196+Q199*D196),4)</f>
        <v>6.4008000000000003</v>
      </c>
      <c r="X199" s="109">
        <f>ROUND((S199*P196+U199*L196+Q199*D196),4)</f>
        <v>22.462</v>
      </c>
      <c r="Y199" s="109">
        <f>ROUND((T199*M196+Q199*E196),4)</f>
        <v>0.46</v>
      </c>
      <c r="Z199" s="109">
        <f>ROUND((U199*0.9*M196+Q199*E196),4)</f>
        <v>0.46079999999999999</v>
      </c>
      <c r="AA199" s="109">
        <f>ROUND((U199*M196+Q199*E196),4)</f>
        <v>0.46200000000000002</v>
      </c>
      <c r="AB199" s="109">
        <f>ROUND((H196*(V199+Y199)*G196*I196/1000000),4)</f>
        <v>0</v>
      </c>
      <c r="AC199" s="109">
        <f>ROUND((H196*(W199+Z199)*G196*J196/1000000),4)</f>
        <v>2.0000000000000001E-4</v>
      </c>
      <c r="AD199" s="109">
        <f>ROUND((H196*(X199+AA199)*G196*K196/1000000),4)</f>
        <v>1.4E-3</v>
      </c>
      <c r="AE199" s="103" t="s">
        <v>177</v>
      </c>
      <c r="AF199" s="104" t="s">
        <v>178</v>
      </c>
      <c r="AG199" s="105">
        <f>ROUND(((X199*F196/3600)),4)</f>
        <v>6.1999999999999998E-3</v>
      </c>
      <c r="AH199" s="105">
        <f>AB199+AC199+AD199</f>
        <v>1.6000000000000001E-3</v>
      </c>
    </row>
    <row r="200" spans="1:36" ht="12.95" customHeight="1" x14ac:dyDescent="0.25">
      <c r="A200" s="577"/>
      <c r="B200" s="94"/>
      <c r="C200" s="94"/>
      <c r="D200" s="94"/>
      <c r="E200" s="94"/>
      <c r="F200" s="94"/>
      <c r="G200" s="94"/>
      <c r="H200" s="94"/>
      <c r="I200" s="94"/>
      <c r="J200" s="94"/>
      <c r="K200" s="94"/>
      <c r="L200" s="99"/>
      <c r="M200" s="99"/>
      <c r="N200" s="94"/>
      <c r="O200" s="94"/>
      <c r="P200" s="94"/>
      <c r="Q200" s="105">
        <v>2.9</v>
      </c>
      <c r="R200" s="106">
        <v>3</v>
      </c>
      <c r="S200" s="105">
        <v>8.1999999999999993</v>
      </c>
      <c r="T200" s="106">
        <v>6.1</v>
      </c>
      <c r="U200" s="106">
        <v>7.4</v>
      </c>
      <c r="V200" s="167">
        <f>ROUND((R200*N196+T200*L196+Q200*D196),4)</f>
        <v>14.961</v>
      </c>
      <c r="W200" s="168">
        <f>ROUND((S200*0.9*O196+U200*0.9*L196+Q200*D196),4)</f>
        <v>47.246600000000001</v>
      </c>
      <c r="X200" s="168">
        <f>ROUND((S200*P196+U200*L196+Q200*D196),4)</f>
        <v>166.97399999999999</v>
      </c>
      <c r="Y200" s="168">
        <f>ROUND((T200*M196+Q200*E196),4)</f>
        <v>2.9609999999999999</v>
      </c>
      <c r="Z200" s="168">
        <f>ROUND((U200*0.9*M196+Q200*E196),4)</f>
        <v>2.9666000000000001</v>
      </c>
      <c r="AA200" s="168">
        <f>ROUND((U200*M196+Q200*E196),4)</f>
        <v>2.9740000000000002</v>
      </c>
      <c r="AB200" s="168">
        <f>ROUND((H196*(V200+Y200)*G196*I196/1000000),4)</f>
        <v>0</v>
      </c>
      <c r="AC200" s="168">
        <f>ROUND((H196*(W200+Z200)*G196*J196/1000000),4)</f>
        <v>1.5E-3</v>
      </c>
      <c r="AD200" s="168">
        <f>ROUND((H196*(X200+AA200)*G196*K196/1000000),4)</f>
        <v>1.0200000000000001E-2</v>
      </c>
      <c r="AE200" s="103" t="s">
        <v>65</v>
      </c>
      <c r="AF200" s="104" t="s">
        <v>66</v>
      </c>
      <c r="AG200" s="105">
        <f>ROUND(((X200*F196/3600)),4)</f>
        <v>4.6399999999999997E-2</v>
      </c>
      <c r="AH200" s="105">
        <f>AB200+AC200+AD200</f>
        <v>1.17E-2</v>
      </c>
    </row>
    <row r="201" spans="1:36" ht="12.95" customHeight="1" x14ac:dyDescent="0.25">
      <c r="A201" s="58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2"/>
      <c r="M201" s="102"/>
      <c r="N201" s="101"/>
      <c r="O201" s="101"/>
      <c r="P201" s="101"/>
      <c r="Q201" s="105">
        <v>0.04</v>
      </c>
      <c r="R201" s="106">
        <v>0.04</v>
      </c>
      <c r="S201" s="105">
        <v>0.16</v>
      </c>
      <c r="T201" s="106">
        <v>0.3</v>
      </c>
      <c r="U201" s="106">
        <v>0.4</v>
      </c>
      <c r="V201" s="167">
        <f>ROUND((R201*N196+T201*L196+Q201*D196),4)</f>
        <v>0.20300000000000001</v>
      </c>
      <c r="W201" s="168">
        <f>ROUND((S201*0.9*O196+U201*0.9*L196+Q201*D196),4)</f>
        <v>0.90759999999999996</v>
      </c>
      <c r="X201" s="168">
        <f>ROUND((S201*P196+U201*L196+Q201*D196),4)</f>
        <v>3.2440000000000002</v>
      </c>
      <c r="Y201" s="168">
        <f>ROUND((T201*M196+Q201*E196),4)</f>
        <v>4.2999999999999997E-2</v>
      </c>
      <c r="Z201" s="168">
        <f>ROUND((U201*0.9*M196+Q201*E196),4)</f>
        <v>4.36E-2</v>
      </c>
      <c r="AA201" s="168">
        <f>ROUND((U201*M196+Q201*E196),4)</f>
        <v>4.3999999999999997E-2</v>
      </c>
      <c r="AB201" s="168">
        <f>ROUND((H196*(V201+Y201)*G196*I196/1000000),5)</f>
        <v>0</v>
      </c>
      <c r="AC201" s="168">
        <f>ROUND((H196*(W201+Z201)*G196*J196/1000000),5)</f>
        <v>3.0000000000000001E-5</v>
      </c>
      <c r="AD201" s="168">
        <f>ROUND((H196*(X201+AA201)*G196*K196/1000000),4)</f>
        <v>2.0000000000000001E-4</v>
      </c>
      <c r="AE201" s="103" t="s">
        <v>213</v>
      </c>
      <c r="AF201" s="104" t="s">
        <v>62</v>
      </c>
      <c r="AG201" s="105">
        <f>ROUND(((X201*F196/3600)),4)</f>
        <v>8.9999999999999998E-4</v>
      </c>
      <c r="AH201" s="105">
        <f>AB201+AC201+AD201</f>
        <v>2.3000000000000001E-4</v>
      </c>
      <c r="AI201" s="61">
        <f>SUM(AG196:AG201)</f>
        <v>6.4899999999999999E-2</v>
      </c>
      <c r="AJ201" s="61">
        <f>SUM(AH196:AH201)</f>
        <v>1.6440000000000003E-2</v>
      </c>
    </row>
    <row r="202" spans="1:36" ht="12.95" customHeight="1" x14ac:dyDescent="0.25">
      <c r="A202" s="1518" t="s">
        <v>694</v>
      </c>
      <c r="B202" s="1519"/>
      <c r="C202" s="1519"/>
      <c r="D202" s="1519"/>
      <c r="E202" s="1519"/>
      <c r="F202" s="1519"/>
      <c r="G202" s="1519"/>
      <c r="H202" s="1519"/>
      <c r="I202" s="1519"/>
      <c r="J202" s="1519"/>
      <c r="K202" s="1519"/>
      <c r="L202" s="1519"/>
      <c r="M202" s="1519"/>
      <c r="N202" s="1519"/>
      <c r="O202" s="1519"/>
      <c r="P202" s="1519"/>
      <c r="Q202" s="1519"/>
      <c r="R202" s="1519"/>
      <c r="S202" s="1519"/>
      <c r="T202" s="1520"/>
      <c r="U202" s="1520"/>
      <c r="V202" s="1519"/>
      <c r="W202" s="1519"/>
      <c r="X202" s="1519"/>
      <c r="Y202" s="1519"/>
      <c r="Z202" s="1519"/>
      <c r="AA202" s="1519"/>
      <c r="AB202" s="1519"/>
      <c r="AC202" s="1519"/>
      <c r="AD202" s="1519"/>
      <c r="AE202" s="1519"/>
      <c r="AF202" s="1519"/>
      <c r="AG202" s="1519"/>
      <c r="AH202" s="1521"/>
    </row>
    <row r="203" spans="1:36" ht="12.95" customHeight="1" x14ac:dyDescent="0.25">
      <c r="A203" s="574" t="s">
        <v>542</v>
      </c>
      <c r="B203" s="93" t="s">
        <v>211</v>
      </c>
      <c r="C203" s="1109" t="s">
        <v>444</v>
      </c>
      <c r="D203" s="97">
        <v>1</v>
      </c>
      <c r="E203" s="97">
        <v>1</v>
      </c>
      <c r="F203" s="97">
        <v>1</v>
      </c>
      <c r="G203" s="97">
        <v>1</v>
      </c>
      <c r="H203" s="97">
        <f>ROUND((F203/G203),2)</f>
        <v>1</v>
      </c>
      <c r="I203" s="490">
        <v>0</v>
      </c>
      <c r="J203" s="490">
        <v>30</v>
      </c>
      <c r="K203" s="491">
        <v>60</v>
      </c>
      <c r="L203" s="98">
        <v>0.01</v>
      </c>
      <c r="M203" s="98">
        <v>0.01</v>
      </c>
      <c r="N203" s="97">
        <v>4</v>
      </c>
      <c r="O203" s="97">
        <v>6</v>
      </c>
      <c r="P203" s="97">
        <v>20</v>
      </c>
      <c r="Q203" s="97">
        <v>1</v>
      </c>
      <c r="R203" s="96">
        <v>1</v>
      </c>
      <c r="S203" s="97">
        <v>2</v>
      </c>
      <c r="T203" s="96">
        <v>4</v>
      </c>
      <c r="U203" s="96">
        <v>4</v>
      </c>
      <c r="V203" s="108">
        <f>ROUND((R203*N203+T203*L203+Q203*D203),4)</f>
        <v>5.04</v>
      </c>
      <c r="W203" s="109">
        <f>ROUND((S203*O203+U203*L203+Q203*D203),4)</f>
        <v>13.04</v>
      </c>
      <c r="X203" s="109">
        <f>ROUND((S203*P203+U203*L203+Q203*D203),4)</f>
        <v>41.04</v>
      </c>
      <c r="Y203" s="109">
        <f>ROUND((T203*M203+Q203*E203),4)</f>
        <v>1.04</v>
      </c>
      <c r="Z203" s="109">
        <f>ROUND((U203*M203+Q203*E203),4)</f>
        <v>1.04</v>
      </c>
      <c r="AA203" s="109">
        <f>ROUND((U203*M203+Q203*E203),4)</f>
        <v>1.04</v>
      </c>
      <c r="AB203" s="109">
        <f>ROUND((H203*(V203+Y203)*G203*I203/1000000),4)</f>
        <v>0</v>
      </c>
      <c r="AC203" s="109">
        <f>ROUND((H203*(W203+Z203)*G203*J203/1000000),4)</f>
        <v>4.0000000000000002E-4</v>
      </c>
      <c r="AD203" s="109">
        <f>ROUND((H203*(X203+AA203)*G203*K203/1000000),4)</f>
        <v>2.5000000000000001E-3</v>
      </c>
      <c r="AE203" s="103" t="s">
        <v>48</v>
      </c>
      <c r="AF203" s="104" t="s">
        <v>49</v>
      </c>
      <c r="AG203" s="105">
        <f>ROUND(((X203*F203/3600)*0.8),4)</f>
        <v>9.1000000000000004E-3</v>
      </c>
      <c r="AH203" s="105">
        <f>ROUND(((AB203+AC203+AD203)*0.8),4)</f>
        <v>2.3E-3</v>
      </c>
    </row>
    <row r="204" spans="1:36" ht="12.95" customHeight="1" x14ac:dyDescent="0.25">
      <c r="A204" s="575" t="s">
        <v>166</v>
      </c>
      <c r="B204" s="94" t="s">
        <v>212</v>
      </c>
      <c r="C204" s="1110"/>
      <c r="D204" s="94"/>
      <c r="E204" s="94"/>
      <c r="F204" s="94"/>
      <c r="G204" s="94"/>
      <c r="H204" s="94"/>
      <c r="I204" s="94"/>
      <c r="J204" s="94"/>
      <c r="K204" s="94"/>
      <c r="L204" s="99"/>
      <c r="M204" s="99"/>
      <c r="N204" s="94"/>
      <c r="O204" s="94"/>
      <c r="P204" s="94"/>
      <c r="Q204" s="101"/>
      <c r="R204" s="101"/>
      <c r="S204" s="102"/>
      <c r="T204" s="101"/>
      <c r="U204" s="101"/>
      <c r="V204" s="110"/>
      <c r="W204" s="111"/>
      <c r="X204" s="111"/>
      <c r="Y204" s="111"/>
      <c r="Z204" s="111"/>
      <c r="AA204" s="111"/>
      <c r="AB204" s="111"/>
      <c r="AC204" s="111"/>
      <c r="AD204" s="111"/>
      <c r="AE204" s="103" t="s">
        <v>51</v>
      </c>
      <c r="AF204" s="104" t="s">
        <v>52</v>
      </c>
      <c r="AG204" s="105">
        <f>ROUND(((X203*F203/3600)*0.13),4)</f>
        <v>1.5E-3</v>
      </c>
      <c r="AH204" s="105">
        <f>ROUND(((AB203+AC203+AD203)*0.13),4)</f>
        <v>4.0000000000000002E-4</v>
      </c>
    </row>
    <row r="205" spans="1:36" ht="12.95" customHeight="1" x14ac:dyDescent="0.25">
      <c r="A205" s="576"/>
      <c r="B205" s="95" t="s">
        <v>491</v>
      </c>
      <c r="C205" s="95"/>
      <c r="D205" s="94"/>
      <c r="E205" s="94"/>
      <c r="F205" s="94"/>
      <c r="G205" s="94"/>
      <c r="H205" s="94"/>
      <c r="I205" s="94"/>
      <c r="J205" s="94"/>
      <c r="K205" s="94"/>
      <c r="L205" s="99"/>
      <c r="M205" s="99"/>
      <c r="N205" s="94"/>
      <c r="O205" s="94"/>
      <c r="P205" s="94"/>
      <c r="Q205" s="105">
        <v>0.1</v>
      </c>
      <c r="R205" s="106">
        <v>0.113</v>
      </c>
      <c r="S205" s="107">
        <v>0.13600000000000001</v>
      </c>
      <c r="T205" s="106">
        <v>0.54</v>
      </c>
      <c r="U205" s="106">
        <v>0.67</v>
      </c>
      <c r="V205" s="108">
        <f>ROUND((R205*N203+T205*L203+Q205*D203),4)</f>
        <v>0.55740000000000001</v>
      </c>
      <c r="W205" s="109">
        <f>ROUND((S205*0.9*O203+U205*0.9*L203+Q205*D203),4)</f>
        <v>0.84040000000000004</v>
      </c>
      <c r="X205" s="109">
        <f>ROUND((S205*P203+U205*L203+Q205*D203),4)</f>
        <v>2.8267000000000002</v>
      </c>
      <c r="Y205" s="109">
        <f>ROUND((T205*M203+Q205*E203),4)</f>
        <v>0.10539999999999999</v>
      </c>
      <c r="Z205" s="109">
        <f>ROUND((U205*0.9*M203+Q205*E203),4)</f>
        <v>0.106</v>
      </c>
      <c r="AA205" s="109">
        <f>ROUND((U205*M203+Q205*E203),4)</f>
        <v>0.1067</v>
      </c>
      <c r="AB205" s="109">
        <f>ROUND((H203*(V205+Y205)*G203*I203/1000000),5)</f>
        <v>0</v>
      </c>
      <c r="AC205" s="109">
        <f>ROUND((H203*(W205+Z205)*G203*J203/1000000),5)</f>
        <v>3.0000000000000001E-5</v>
      </c>
      <c r="AD205" s="109">
        <f>ROUND((H203*(X205+AA205)*G203*K203/1000000),5)</f>
        <v>1.8000000000000001E-4</v>
      </c>
      <c r="AE205" s="103" t="s">
        <v>56</v>
      </c>
      <c r="AF205" s="104" t="s">
        <v>57</v>
      </c>
      <c r="AG205" s="105">
        <f>ROUND(((X205*F203/3600)),4)</f>
        <v>8.0000000000000004E-4</v>
      </c>
      <c r="AH205" s="105">
        <f>AB205+AC205+AD205</f>
        <v>2.1000000000000001E-4</v>
      </c>
    </row>
    <row r="206" spans="1:36" ht="12.95" customHeight="1" x14ac:dyDescent="0.25">
      <c r="A206" s="576"/>
      <c r="B206" s="166"/>
      <c r="C206" s="94"/>
      <c r="D206" s="94"/>
      <c r="E206" s="94"/>
      <c r="F206" s="94"/>
      <c r="G206" s="94"/>
      <c r="H206" s="94"/>
      <c r="I206" s="94"/>
      <c r="J206" s="94"/>
      <c r="K206" s="94"/>
      <c r="L206" s="99"/>
      <c r="M206" s="99"/>
      <c r="N206" s="94"/>
      <c r="O206" s="94"/>
      <c r="P206" s="94"/>
      <c r="Q206" s="105">
        <v>0.45</v>
      </c>
      <c r="R206" s="106">
        <v>0.4</v>
      </c>
      <c r="S206" s="105">
        <v>1.1000000000000001</v>
      </c>
      <c r="T206" s="106">
        <v>1</v>
      </c>
      <c r="U206" s="106">
        <v>1.2</v>
      </c>
      <c r="V206" s="108">
        <f>ROUND((R206*N203+T206*L203+Q206*D203),4)</f>
        <v>2.06</v>
      </c>
      <c r="W206" s="109">
        <f>ROUND((S206*0.9*O203+U206*0.9*L203+Q206*D203),4)</f>
        <v>6.4008000000000003</v>
      </c>
      <c r="X206" s="109">
        <f>ROUND((S206*P203+U206*L203+Q206*D203),4)</f>
        <v>22.462</v>
      </c>
      <c r="Y206" s="109">
        <f>ROUND((T206*M203+Q206*E203),4)</f>
        <v>0.46</v>
      </c>
      <c r="Z206" s="109">
        <f>ROUND((U206*0.9*M203+Q206*E203),4)</f>
        <v>0.46079999999999999</v>
      </c>
      <c r="AA206" s="109">
        <f>ROUND((U206*M203+Q206*E203),4)</f>
        <v>0.46200000000000002</v>
      </c>
      <c r="AB206" s="109">
        <f>ROUND((H203*(V206+Y206)*G203*I203/1000000),4)</f>
        <v>0</v>
      </c>
      <c r="AC206" s="109">
        <f>ROUND((H203*(W206+Z206)*G203*J203/1000000),4)</f>
        <v>2.0000000000000001E-4</v>
      </c>
      <c r="AD206" s="109">
        <f>ROUND((H203*(X206+AA206)*G203*K203/1000000),4)</f>
        <v>1.4E-3</v>
      </c>
      <c r="AE206" s="103" t="s">
        <v>177</v>
      </c>
      <c r="AF206" s="104" t="s">
        <v>178</v>
      </c>
      <c r="AG206" s="105">
        <f>ROUND(((X206*F203/3600)),4)</f>
        <v>6.1999999999999998E-3</v>
      </c>
      <c r="AH206" s="105">
        <f>AB206+AC206+AD206</f>
        <v>1.6000000000000001E-3</v>
      </c>
    </row>
    <row r="207" spans="1:36" ht="12.95" customHeight="1" x14ac:dyDescent="0.25">
      <c r="A207" s="577"/>
      <c r="B207" s="94"/>
      <c r="C207" s="94"/>
      <c r="D207" s="94"/>
      <c r="E207" s="94"/>
      <c r="F207" s="94"/>
      <c r="G207" s="94"/>
      <c r="H207" s="94"/>
      <c r="I207" s="94"/>
      <c r="J207" s="94"/>
      <c r="K207" s="94"/>
      <c r="L207" s="99"/>
      <c r="M207" s="99"/>
      <c r="N207" s="94"/>
      <c r="O207" s="94"/>
      <c r="P207" s="94"/>
      <c r="Q207" s="105">
        <v>2.9</v>
      </c>
      <c r="R207" s="106">
        <v>3</v>
      </c>
      <c r="S207" s="105">
        <v>8.1999999999999993</v>
      </c>
      <c r="T207" s="106">
        <v>6.1</v>
      </c>
      <c r="U207" s="106">
        <v>7.4</v>
      </c>
      <c r="V207" s="167">
        <f>ROUND((R207*N203+T207*L203+Q207*D203),4)</f>
        <v>14.961</v>
      </c>
      <c r="W207" s="168">
        <f>ROUND((S207*0.9*O203+U207*0.9*L203+Q207*D203),4)</f>
        <v>47.246600000000001</v>
      </c>
      <c r="X207" s="168">
        <f>ROUND((S207*P203+U207*L203+Q207*D203),4)</f>
        <v>166.97399999999999</v>
      </c>
      <c r="Y207" s="168">
        <f>ROUND((T207*M203+Q207*E203),4)</f>
        <v>2.9609999999999999</v>
      </c>
      <c r="Z207" s="168">
        <f>ROUND((U207*0.9*M203+Q207*E203),4)</f>
        <v>2.9666000000000001</v>
      </c>
      <c r="AA207" s="168">
        <f>ROUND((U207*M203+Q207*E203),4)</f>
        <v>2.9740000000000002</v>
      </c>
      <c r="AB207" s="168">
        <f>ROUND((H203*(V207+Y207)*G203*I203/1000000),4)</f>
        <v>0</v>
      </c>
      <c r="AC207" s="168">
        <f>ROUND((H203*(W207+Z207)*G203*J203/1000000),4)</f>
        <v>1.5E-3</v>
      </c>
      <c r="AD207" s="168">
        <f>ROUND((H203*(X207+AA207)*G203*K203/1000000),4)</f>
        <v>1.0200000000000001E-2</v>
      </c>
      <c r="AE207" s="103" t="s">
        <v>65</v>
      </c>
      <c r="AF207" s="104" t="s">
        <v>66</v>
      </c>
      <c r="AG207" s="105">
        <f>ROUND(((X207*F203/3600)),4)</f>
        <v>4.6399999999999997E-2</v>
      </c>
      <c r="AH207" s="105">
        <f>AB207+AC207+AD207</f>
        <v>1.17E-2</v>
      </c>
    </row>
    <row r="208" spans="1:36" ht="12.95" customHeight="1" x14ac:dyDescent="0.25">
      <c r="A208" s="58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2"/>
      <c r="M208" s="102"/>
      <c r="N208" s="101"/>
      <c r="O208" s="101"/>
      <c r="P208" s="101"/>
      <c r="Q208" s="105">
        <v>0.04</v>
      </c>
      <c r="R208" s="106">
        <v>0.04</v>
      </c>
      <c r="S208" s="105">
        <v>0.16</v>
      </c>
      <c r="T208" s="106">
        <v>0.3</v>
      </c>
      <c r="U208" s="106">
        <v>0.4</v>
      </c>
      <c r="V208" s="167">
        <f>ROUND((R208*N203+T208*L203+Q208*D203),4)</f>
        <v>0.20300000000000001</v>
      </c>
      <c r="W208" s="168">
        <f>ROUND((S208*0.9*O203+U208*0.9*L203+Q208*D203),4)</f>
        <v>0.90759999999999996</v>
      </c>
      <c r="X208" s="168">
        <f>ROUND((S208*P203+U208*L203+Q208*D203),4)</f>
        <v>3.2440000000000002</v>
      </c>
      <c r="Y208" s="168">
        <f>ROUND((T208*M203+Q208*E203),4)</f>
        <v>4.2999999999999997E-2</v>
      </c>
      <c r="Z208" s="168">
        <f>ROUND((U208*0.9*M203+Q208*E203),4)</f>
        <v>4.36E-2</v>
      </c>
      <c r="AA208" s="168">
        <f>ROUND((U208*M203+Q208*E203),4)</f>
        <v>4.3999999999999997E-2</v>
      </c>
      <c r="AB208" s="168">
        <f>ROUND((H203*(V208+Y208)*G203*I203/1000000),5)</f>
        <v>0</v>
      </c>
      <c r="AC208" s="168">
        <f>ROUND((H203*(W208+Z208)*G203*J203/1000000),5)</f>
        <v>3.0000000000000001E-5</v>
      </c>
      <c r="AD208" s="168">
        <f>ROUND((H203*(X208+AA208)*G203*K203/1000000),4)</f>
        <v>2.0000000000000001E-4</v>
      </c>
      <c r="AE208" s="103" t="s">
        <v>213</v>
      </c>
      <c r="AF208" s="104" t="s">
        <v>62</v>
      </c>
      <c r="AG208" s="105">
        <f>ROUND(((X208*F203/3600)),4)</f>
        <v>8.9999999999999998E-4</v>
      </c>
      <c r="AH208" s="105">
        <f>AB208+AC208+AD208</f>
        <v>2.3000000000000001E-4</v>
      </c>
      <c r="AI208" s="61">
        <f>SUM(AG203:AG208)</f>
        <v>6.4899999999999999E-2</v>
      </c>
      <c r="AJ208" s="61">
        <f>SUM(AH203:AH208)</f>
        <v>1.6440000000000003E-2</v>
      </c>
    </row>
    <row r="209" spans="1:36" ht="12.95" customHeight="1" x14ac:dyDescent="0.25">
      <c r="A209" s="1518" t="s">
        <v>696</v>
      </c>
      <c r="B209" s="1519"/>
      <c r="C209" s="1519"/>
      <c r="D209" s="1519"/>
      <c r="E209" s="1519"/>
      <c r="F209" s="1519"/>
      <c r="G209" s="1519"/>
      <c r="H209" s="1519"/>
      <c r="I209" s="1519"/>
      <c r="J209" s="1519"/>
      <c r="K209" s="1519"/>
      <c r="L209" s="1519"/>
      <c r="M209" s="1519"/>
      <c r="N209" s="1519"/>
      <c r="O209" s="1519"/>
      <c r="P209" s="1519"/>
      <c r="Q209" s="1519"/>
      <c r="R209" s="1519"/>
      <c r="S209" s="1519"/>
      <c r="T209" s="1520"/>
      <c r="U209" s="1520"/>
      <c r="V209" s="1519"/>
      <c r="W209" s="1519"/>
      <c r="X209" s="1519"/>
      <c r="Y209" s="1519"/>
      <c r="Z209" s="1519"/>
      <c r="AA209" s="1519"/>
      <c r="AB209" s="1519"/>
      <c r="AC209" s="1519"/>
      <c r="AD209" s="1519"/>
      <c r="AE209" s="1519"/>
      <c r="AF209" s="1519"/>
      <c r="AG209" s="1519"/>
      <c r="AH209" s="1521"/>
    </row>
    <row r="210" spans="1:36" ht="12.95" customHeight="1" x14ac:dyDescent="0.25">
      <c r="A210" s="574" t="s">
        <v>544</v>
      </c>
      <c r="B210" s="93" t="s">
        <v>211</v>
      </c>
      <c r="C210" s="1109" t="s">
        <v>444</v>
      </c>
      <c r="D210" s="97">
        <v>1</v>
      </c>
      <c r="E210" s="97">
        <v>1</v>
      </c>
      <c r="F210" s="97">
        <v>1</v>
      </c>
      <c r="G210" s="97">
        <v>1</v>
      </c>
      <c r="H210" s="97">
        <f>ROUND((F210/G210),2)</f>
        <v>1</v>
      </c>
      <c r="I210" s="490">
        <v>0</v>
      </c>
      <c r="J210" s="490">
        <v>30</v>
      </c>
      <c r="K210" s="491">
        <v>60</v>
      </c>
      <c r="L210" s="98">
        <v>0.01</v>
      </c>
      <c r="M210" s="98">
        <v>0.01</v>
      </c>
      <c r="N210" s="97">
        <v>4</v>
      </c>
      <c r="O210" s="97">
        <v>6</v>
      </c>
      <c r="P210" s="97">
        <v>20</v>
      </c>
      <c r="Q210" s="97">
        <v>1</v>
      </c>
      <c r="R210" s="96">
        <v>1</v>
      </c>
      <c r="S210" s="97">
        <v>2</v>
      </c>
      <c r="T210" s="96">
        <v>4</v>
      </c>
      <c r="U210" s="96">
        <v>4</v>
      </c>
      <c r="V210" s="108">
        <f>ROUND((R210*N210+T210*L210+Q210*D210),4)</f>
        <v>5.04</v>
      </c>
      <c r="W210" s="109">
        <f>ROUND((S210*O210+U210*L210+Q210*D210),4)</f>
        <v>13.04</v>
      </c>
      <c r="X210" s="109">
        <f>ROUND((S210*P210+U210*L210+Q210*D210),4)</f>
        <v>41.04</v>
      </c>
      <c r="Y210" s="109">
        <f>ROUND((T210*M210+Q210*E210),4)</f>
        <v>1.04</v>
      </c>
      <c r="Z210" s="109">
        <f>ROUND((U210*M210+Q210*E210),4)</f>
        <v>1.04</v>
      </c>
      <c r="AA210" s="109">
        <f>ROUND((U210*M210+Q210*E210),4)</f>
        <v>1.04</v>
      </c>
      <c r="AB210" s="109">
        <f>ROUND((H210*(V210+Y210)*G210*I210/1000000),4)</f>
        <v>0</v>
      </c>
      <c r="AC210" s="109">
        <f>ROUND((H210*(W210+Z210)*G210*J210/1000000),4)</f>
        <v>4.0000000000000002E-4</v>
      </c>
      <c r="AD210" s="109">
        <f>ROUND((H210*(X210+AA210)*G210*K210/1000000),4)</f>
        <v>2.5000000000000001E-3</v>
      </c>
      <c r="AE210" s="103" t="s">
        <v>48</v>
      </c>
      <c r="AF210" s="104" t="s">
        <v>49</v>
      </c>
      <c r="AG210" s="105">
        <f>ROUND(((X210*F210/3600)*0.8),4)</f>
        <v>9.1000000000000004E-3</v>
      </c>
      <c r="AH210" s="105">
        <f>ROUND(((AB210+AC210+AD210)*0.8),4)</f>
        <v>2.3E-3</v>
      </c>
    </row>
    <row r="211" spans="1:36" ht="12.95" customHeight="1" x14ac:dyDescent="0.25">
      <c r="A211" s="575" t="s">
        <v>166</v>
      </c>
      <c r="B211" s="94" t="s">
        <v>212</v>
      </c>
      <c r="C211" s="1110"/>
      <c r="D211" s="94"/>
      <c r="E211" s="94"/>
      <c r="F211" s="94"/>
      <c r="G211" s="94"/>
      <c r="H211" s="94"/>
      <c r="I211" s="94"/>
      <c r="J211" s="94"/>
      <c r="K211" s="94"/>
      <c r="L211" s="99"/>
      <c r="M211" s="99"/>
      <c r="N211" s="94"/>
      <c r="O211" s="94"/>
      <c r="P211" s="94"/>
      <c r="Q211" s="101"/>
      <c r="R211" s="101"/>
      <c r="S211" s="102"/>
      <c r="T211" s="101"/>
      <c r="U211" s="101"/>
      <c r="V211" s="110"/>
      <c r="W211" s="111"/>
      <c r="X211" s="111"/>
      <c r="Y211" s="111"/>
      <c r="Z211" s="111"/>
      <c r="AA211" s="111"/>
      <c r="AB211" s="111"/>
      <c r="AC211" s="111"/>
      <c r="AD211" s="111"/>
      <c r="AE211" s="103" t="s">
        <v>51</v>
      </c>
      <c r="AF211" s="104" t="s">
        <v>52</v>
      </c>
      <c r="AG211" s="105">
        <f>ROUND(((X210*F210/3600)*0.13),4)</f>
        <v>1.5E-3</v>
      </c>
      <c r="AH211" s="105">
        <f>ROUND(((AB210+AC210+AD210)*0.13),4)</f>
        <v>4.0000000000000002E-4</v>
      </c>
    </row>
    <row r="212" spans="1:36" ht="12.95" customHeight="1" x14ac:dyDescent="0.25">
      <c r="A212" s="576"/>
      <c r="B212" s="95" t="s">
        <v>491</v>
      </c>
      <c r="C212" s="95"/>
      <c r="D212" s="94"/>
      <c r="E212" s="94"/>
      <c r="F212" s="94"/>
      <c r="G212" s="94"/>
      <c r="H212" s="94"/>
      <c r="I212" s="94"/>
      <c r="J212" s="94"/>
      <c r="K212" s="94"/>
      <c r="L212" s="99"/>
      <c r="M212" s="99"/>
      <c r="N212" s="94"/>
      <c r="O212" s="94"/>
      <c r="P212" s="94"/>
      <c r="Q212" s="105">
        <v>0.1</v>
      </c>
      <c r="R212" s="106">
        <v>0.113</v>
      </c>
      <c r="S212" s="107">
        <v>0.13600000000000001</v>
      </c>
      <c r="T212" s="106">
        <v>0.54</v>
      </c>
      <c r="U212" s="106">
        <v>0.67</v>
      </c>
      <c r="V212" s="108">
        <f>ROUND((R212*N210+T212*L210+Q212*D210),4)</f>
        <v>0.55740000000000001</v>
      </c>
      <c r="W212" s="109">
        <f>ROUND((S212*0.9*O210+U212*0.9*L210+Q212*D210),4)</f>
        <v>0.84040000000000004</v>
      </c>
      <c r="X212" s="109">
        <f>ROUND((S212*P210+U212*L210+Q212*D210),4)</f>
        <v>2.8267000000000002</v>
      </c>
      <c r="Y212" s="109">
        <f>ROUND((T212*M210+Q212*E210),4)</f>
        <v>0.10539999999999999</v>
      </c>
      <c r="Z212" s="109">
        <f>ROUND((U212*0.9*M210+Q212*E210),4)</f>
        <v>0.106</v>
      </c>
      <c r="AA212" s="109">
        <f>ROUND((U212*M210+Q212*E210),4)</f>
        <v>0.1067</v>
      </c>
      <c r="AB212" s="109">
        <f>ROUND((H210*(V212+Y212)*G210*I210/1000000),5)</f>
        <v>0</v>
      </c>
      <c r="AC212" s="109">
        <f>ROUND((H210*(W212+Z212)*G210*J210/1000000),5)</f>
        <v>3.0000000000000001E-5</v>
      </c>
      <c r="AD212" s="109">
        <f>ROUND((H210*(X212+AA212)*G210*K210/1000000),5)</f>
        <v>1.8000000000000001E-4</v>
      </c>
      <c r="AE212" s="103" t="s">
        <v>56</v>
      </c>
      <c r="AF212" s="104" t="s">
        <v>57</v>
      </c>
      <c r="AG212" s="105">
        <f>ROUND(((X212*F210/3600)),4)</f>
        <v>8.0000000000000004E-4</v>
      </c>
      <c r="AH212" s="105">
        <f>AB212+AC212+AD212</f>
        <v>2.1000000000000001E-4</v>
      </c>
    </row>
    <row r="213" spans="1:36" ht="12.95" customHeight="1" x14ac:dyDescent="0.25">
      <c r="A213" s="576"/>
      <c r="B213" s="166"/>
      <c r="C213" s="94"/>
      <c r="D213" s="94"/>
      <c r="E213" s="94"/>
      <c r="F213" s="94"/>
      <c r="G213" s="94"/>
      <c r="H213" s="94"/>
      <c r="I213" s="94"/>
      <c r="J213" s="94"/>
      <c r="K213" s="94"/>
      <c r="L213" s="99"/>
      <c r="M213" s="99"/>
      <c r="N213" s="94"/>
      <c r="O213" s="94"/>
      <c r="P213" s="94"/>
      <c r="Q213" s="105">
        <v>0.45</v>
      </c>
      <c r="R213" s="106">
        <v>0.4</v>
      </c>
      <c r="S213" s="105">
        <v>1.1000000000000001</v>
      </c>
      <c r="T213" s="106">
        <v>1</v>
      </c>
      <c r="U213" s="106">
        <v>1.2</v>
      </c>
      <c r="V213" s="108">
        <f>ROUND((R213*N210+T213*L210+Q213*D210),4)</f>
        <v>2.06</v>
      </c>
      <c r="W213" s="109">
        <f>ROUND((S213*0.9*O210+U213*0.9*L210+Q213*D210),4)</f>
        <v>6.4008000000000003</v>
      </c>
      <c r="X213" s="109">
        <f>ROUND((S213*P210+U213*L210+Q213*D210),4)</f>
        <v>22.462</v>
      </c>
      <c r="Y213" s="109">
        <f>ROUND((T213*M210+Q213*E210),4)</f>
        <v>0.46</v>
      </c>
      <c r="Z213" s="109">
        <f>ROUND((U213*0.9*M210+Q213*E210),4)</f>
        <v>0.46079999999999999</v>
      </c>
      <c r="AA213" s="109">
        <f>ROUND((U213*M210+Q213*E210),4)</f>
        <v>0.46200000000000002</v>
      </c>
      <c r="AB213" s="109">
        <f>ROUND((H210*(V213+Y213)*G210*I210/1000000),4)</f>
        <v>0</v>
      </c>
      <c r="AC213" s="109">
        <f>ROUND((H210*(W213+Z213)*G210*J210/1000000),4)</f>
        <v>2.0000000000000001E-4</v>
      </c>
      <c r="AD213" s="109">
        <f>ROUND((H210*(X213+AA213)*G210*K210/1000000),4)</f>
        <v>1.4E-3</v>
      </c>
      <c r="AE213" s="103" t="s">
        <v>177</v>
      </c>
      <c r="AF213" s="104" t="s">
        <v>178</v>
      </c>
      <c r="AG213" s="105">
        <f>ROUND(((X213*F210/3600)),4)</f>
        <v>6.1999999999999998E-3</v>
      </c>
      <c r="AH213" s="105">
        <f>AB213+AC213+AD213</f>
        <v>1.6000000000000001E-3</v>
      </c>
    </row>
    <row r="214" spans="1:36" ht="12.95" customHeight="1" x14ac:dyDescent="0.25">
      <c r="A214" s="577"/>
      <c r="B214" s="94"/>
      <c r="C214" s="94"/>
      <c r="D214" s="94"/>
      <c r="E214" s="94"/>
      <c r="F214" s="94"/>
      <c r="G214" s="94"/>
      <c r="H214" s="94"/>
      <c r="I214" s="94"/>
      <c r="J214" s="94"/>
      <c r="K214" s="94"/>
      <c r="L214" s="99"/>
      <c r="M214" s="99"/>
      <c r="N214" s="94"/>
      <c r="O214" s="94"/>
      <c r="P214" s="94"/>
      <c r="Q214" s="105">
        <v>2.9</v>
      </c>
      <c r="R214" s="106">
        <v>3</v>
      </c>
      <c r="S214" s="105">
        <v>8.1999999999999993</v>
      </c>
      <c r="T214" s="106">
        <v>6.1</v>
      </c>
      <c r="U214" s="106">
        <v>7.4</v>
      </c>
      <c r="V214" s="167">
        <f>ROUND((R214*N210+T214*L210+Q214*D210),4)</f>
        <v>14.961</v>
      </c>
      <c r="W214" s="168">
        <f>ROUND((S214*0.9*O210+U214*0.9*L210+Q214*D210),4)</f>
        <v>47.246600000000001</v>
      </c>
      <c r="X214" s="168">
        <f>ROUND((S214*P210+U214*L210+Q214*D210),4)</f>
        <v>166.97399999999999</v>
      </c>
      <c r="Y214" s="168">
        <f>ROUND((T214*M210+Q214*E210),4)</f>
        <v>2.9609999999999999</v>
      </c>
      <c r="Z214" s="168">
        <f>ROUND((U214*0.9*M210+Q214*E210),4)</f>
        <v>2.9666000000000001</v>
      </c>
      <c r="AA214" s="168">
        <f>ROUND((U214*M210+Q214*E210),4)</f>
        <v>2.9740000000000002</v>
      </c>
      <c r="AB214" s="168">
        <f>ROUND((H210*(V214+Y214)*G210*I210/1000000),4)</f>
        <v>0</v>
      </c>
      <c r="AC214" s="168">
        <f>ROUND((H210*(W214+Z214)*G210*J210/1000000),4)</f>
        <v>1.5E-3</v>
      </c>
      <c r="AD214" s="168">
        <f>ROUND((H210*(X214+AA214)*G210*K210/1000000),4)</f>
        <v>1.0200000000000001E-2</v>
      </c>
      <c r="AE214" s="103" t="s">
        <v>65</v>
      </c>
      <c r="AF214" s="104" t="s">
        <v>66</v>
      </c>
      <c r="AG214" s="105">
        <f>ROUND(((X214*F210/3600)),4)</f>
        <v>4.6399999999999997E-2</v>
      </c>
      <c r="AH214" s="105">
        <f>AB214+AC214+AD214</f>
        <v>1.17E-2</v>
      </c>
    </row>
    <row r="215" spans="1:36" ht="12.95" customHeight="1" x14ac:dyDescent="0.25">
      <c r="A215" s="58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2"/>
      <c r="M215" s="102"/>
      <c r="N215" s="101"/>
      <c r="O215" s="101"/>
      <c r="P215" s="101"/>
      <c r="Q215" s="105">
        <v>0.04</v>
      </c>
      <c r="R215" s="106">
        <v>0.04</v>
      </c>
      <c r="S215" s="105">
        <v>0.16</v>
      </c>
      <c r="T215" s="106">
        <v>0.3</v>
      </c>
      <c r="U215" s="106">
        <v>0.4</v>
      </c>
      <c r="V215" s="167">
        <f>ROUND((R215*N210+T215*L210+Q215*D210),4)</f>
        <v>0.20300000000000001</v>
      </c>
      <c r="W215" s="168">
        <f>ROUND((S215*0.9*O210+U215*0.9*L210+Q215*D210),4)</f>
        <v>0.90759999999999996</v>
      </c>
      <c r="X215" s="168">
        <f>ROUND((S215*P210+U215*L210+Q215*D210),4)</f>
        <v>3.2440000000000002</v>
      </c>
      <c r="Y215" s="168">
        <f>ROUND((T215*M210+Q215*E210),4)</f>
        <v>4.2999999999999997E-2</v>
      </c>
      <c r="Z215" s="168">
        <f>ROUND((U215*0.9*M210+Q215*E210),4)</f>
        <v>4.36E-2</v>
      </c>
      <c r="AA215" s="168">
        <f>ROUND((U215*M210+Q215*E210),4)</f>
        <v>4.3999999999999997E-2</v>
      </c>
      <c r="AB215" s="168">
        <f>ROUND((H210*(V215+Y215)*G210*I210/1000000),5)</f>
        <v>0</v>
      </c>
      <c r="AC215" s="168">
        <f>ROUND((H210*(W215+Z215)*G210*J210/1000000),5)</f>
        <v>3.0000000000000001E-5</v>
      </c>
      <c r="AD215" s="168">
        <f>ROUND((H210*(X215+AA215)*G210*K210/1000000),4)</f>
        <v>2.0000000000000001E-4</v>
      </c>
      <c r="AE215" s="103" t="s">
        <v>213</v>
      </c>
      <c r="AF215" s="104" t="s">
        <v>62</v>
      </c>
      <c r="AG215" s="105">
        <f>ROUND(((X215*F210/3600)),4)</f>
        <v>8.9999999999999998E-4</v>
      </c>
      <c r="AH215" s="105">
        <f>AB215+AC215+AD215</f>
        <v>2.3000000000000001E-4</v>
      </c>
      <c r="AI215" s="61">
        <f>SUM(AG210:AG215)</f>
        <v>6.4899999999999999E-2</v>
      </c>
      <c r="AJ215" s="61">
        <f>SUM(AH210:AH215)</f>
        <v>1.6440000000000003E-2</v>
      </c>
    </row>
    <row r="216" spans="1:36" ht="12.95" customHeight="1" x14ac:dyDescent="0.25">
      <c r="A216" s="1518" t="s">
        <v>697</v>
      </c>
      <c r="B216" s="1519"/>
      <c r="C216" s="1519"/>
      <c r="D216" s="1519"/>
      <c r="E216" s="1519"/>
      <c r="F216" s="1519"/>
      <c r="G216" s="1519"/>
      <c r="H216" s="1519"/>
      <c r="I216" s="1519"/>
      <c r="J216" s="1519"/>
      <c r="K216" s="1519"/>
      <c r="L216" s="1519"/>
      <c r="M216" s="1519"/>
      <c r="N216" s="1519"/>
      <c r="O216" s="1519"/>
      <c r="P216" s="1519"/>
      <c r="Q216" s="1519"/>
      <c r="R216" s="1519"/>
      <c r="S216" s="1519"/>
      <c r="T216" s="1520"/>
      <c r="U216" s="1520"/>
      <c r="V216" s="1519"/>
      <c r="W216" s="1519"/>
      <c r="X216" s="1519"/>
      <c r="Y216" s="1519"/>
      <c r="Z216" s="1519"/>
      <c r="AA216" s="1519"/>
      <c r="AB216" s="1519"/>
      <c r="AC216" s="1519"/>
      <c r="AD216" s="1519"/>
      <c r="AE216" s="1519"/>
      <c r="AF216" s="1519"/>
      <c r="AG216" s="1519"/>
      <c r="AH216" s="1521"/>
    </row>
    <row r="217" spans="1:36" ht="12.95" customHeight="1" x14ac:dyDescent="0.25">
      <c r="A217" s="574" t="s">
        <v>553</v>
      </c>
      <c r="B217" s="93" t="s">
        <v>211</v>
      </c>
      <c r="C217" s="1109" t="s">
        <v>444</v>
      </c>
      <c r="D217" s="97">
        <v>1</v>
      </c>
      <c r="E217" s="97">
        <v>1</v>
      </c>
      <c r="F217" s="97">
        <v>1</v>
      </c>
      <c r="G217" s="97">
        <v>1</v>
      </c>
      <c r="H217" s="97">
        <f>ROUND((F217/G217),2)</f>
        <v>1</v>
      </c>
      <c r="I217" s="490">
        <v>0</v>
      </c>
      <c r="J217" s="490">
        <v>30</v>
      </c>
      <c r="K217" s="491">
        <v>60</v>
      </c>
      <c r="L217" s="98">
        <v>0.01</v>
      </c>
      <c r="M217" s="98">
        <v>0.01</v>
      </c>
      <c r="N217" s="97">
        <v>4</v>
      </c>
      <c r="O217" s="97">
        <v>6</v>
      </c>
      <c r="P217" s="97">
        <v>20</v>
      </c>
      <c r="Q217" s="97">
        <v>1</v>
      </c>
      <c r="R217" s="96">
        <v>1</v>
      </c>
      <c r="S217" s="97">
        <v>2</v>
      </c>
      <c r="T217" s="96">
        <v>4</v>
      </c>
      <c r="U217" s="96">
        <v>4</v>
      </c>
      <c r="V217" s="108">
        <f>ROUND((R217*N217+T217*L217+Q217*D217),4)</f>
        <v>5.04</v>
      </c>
      <c r="W217" s="109">
        <f>ROUND((S217*O217+U217*L217+Q217*D217),4)</f>
        <v>13.04</v>
      </c>
      <c r="X217" s="109">
        <f>ROUND((S217*P217+U217*L217+Q217*D217),4)</f>
        <v>41.04</v>
      </c>
      <c r="Y217" s="109">
        <f>ROUND((T217*M217+Q217*E217),4)</f>
        <v>1.04</v>
      </c>
      <c r="Z217" s="109">
        <f>ROUND((U217*M217+Q217*E217),4)</f>
        <v>1.04</v>
      </c>
      <c r="AA217" s="109">
        <f>ROUND((U217*M217+Q217*E217),4)</f>
        <v>1.04</v>
      </c>
      <c r="AB217" s="109">
        <f>ROUND((H217*(V217+Y217)*G217*I217/1000000),4)</f>
        <v>0</v>
      </c>
      <c r="AC217" s="109">
        <f>ROUND((H217*(W217+Z217)*G217*J217/1000000),4)</f>
        <v>4.0000000000000002E-4</v>
      </c>
      <c r="AD217" s="109">
        <f>ROUND((H217*(X217+AA217)*G217*K217/1000000),4)</f>
        <v>2.5000000000000001E-3</v>
      </c>
      <c r="AE217" s="103" t="s">
        <v>48</v>
      </c>
      <c r="AF217" s="104" t="s">
        <v>49</v>
      </c>
      <c r="AG217" s="105">
        <f>ROUND(((X217*F217/3600)*0.8),4)</f>
        <v>9.1000000000000004E-3</v>
      </c>
      <c r="AH217" s="105">
        <f>ROUND(((AB217+AC217+AD217)*0.8),4)</f>
        <v>2.3E-3</v>
      </c>
    </row>
    <row r="218" spans="1:36" ht="12.95" customHeight="1" x14ac:dyDescent="0.25">
      <c r="A218" s="575" t="s">
        <v>166</v>
      </c>
      <c r="B218" s="94" t="s">
        <v>212</v>
      </c>
      <c r="C218" s="1110"/>
      <c r="D218" s="94"/>
      <c r="E218" s="94"/>
      <c r="F218" s="94"/>
      <c r="G218" s="94"/>
      <c r="H218" s="94"/>
      <c r="I218" s="94"/>
      <c r="J218" s="94"/>
      <c r="K218" s="94"/>
      <c r="L218" s="99"/>
      <c r="M218" s="99"/>
      <c r="N218" s="94"/>
      <c r="O218" s="94"/>
      <c r="P218" s="94"/>
      <c r="Q218" s="101"/>
      <c r="R218" s="101"/>
      <c r="S218" s="102"/>
      <c r="T218" s="101"/>
      <c r="U218" s="101"/>
      <c r="V218" s="110"/>
      <c r="W218" s="111"/>
      <c r="X218" s="111"/>
      <c r="Y218" s="111"/>
      <c r="Z218" s="111"/>
      <c r="AA218" s="111"/>
      <c r="AB218" s="111"/>
      <c r="AC218" s="111"/>
      <c r="AD218" s="111"/>
      <c r="AE218" s="103" t="s">
        <v>51</v>
      </c>
      <c r="AF218" s="104" t="s">
        <v>52</v>
      </c>
      <c r="AG218" s="105">
        <f>ROUND(((X217*F217/3600)*0.13),4)</f>
        <v>1.5E-3</v>
      </c>
      <c r="AH218" s="105">
        <f>ROUND(((AB217+AC217+AD217)*0.13),4)</f>
        <v>4.0000000000000002E-4</v>
      </c>
    </row>
    <row r="219" spans="1:36" ht="12.95" customHeight="1" x14ac:dyDescent="0.25">
      <c r="A219" s="576"/>
      <c r="B219" s="95" t="s">
        <v>491</v>
      </c>
      <c r="C219" s="95"/>
      <c r="D219" s="94"/>
      <c r="E219" s="94"/>
      <c r="F219" s="94"/>
      <c r="G219" s="94"/>
      <c r="H219" s="94"/>
      <c r="I219" s="94"/>
      <c r="J219" s="94"/>
      <c r="K219" s="94"/>
      <c r="L219" s="99"/>
      <c r="M219" s="99"/>
      <c r="N219" s="94"/>
      <c r="O219" s="94"/>
      <c r="P219" s="94"/>
      <c r="Q219" s="105">
        <v>0.1</v>
      </c>
      <c r="R219" s="106">
        <v>0.113</v>
      </c>
      <c r="S219" s="107">
        <v>0.13600000000000001</v>
      </c>
      <c r="T219" s="106">
        <v>0.54</v>
      </c>
      <c r="U219" s="106">
        <v>0.67</v>
      </c>
      <c r="V219" s="108">
        <f>ROUND((R219*N217+T219*L217+Q219*D217),4)</f>
        <v>0.55740000000000001</v>
      </c>
      <c r="W219" s="109">
        <f>ROUND((S219*0.9*O217+U219*0.9*L217+Q219*D217),4)</f>
        <v>0.84040000000000004</v>
      </c>
      <c r="X219" s="109">
        <f>ROUND((S219*P217+U219*L217+Q219*D217),4)</f>
        <v>2.8267000000000002</v>
      </c>
      <c r="Y219" s="109">
        <f>ROUND((T219*M217+Q219*E217),4)</f>
        <v>0.10539999999999999</v>
      </c>
      <c r="Z219" s="109">
        <f>ROUND((U219*0.9*M217+Q219*E217),4)</f>
        <v>0.106</v>
      </c>
      <c r="AA219" s="109">
        <f>ROUND((U219*M217+Q219*E217),4)</f>
        <v>0.1067</v>
      </c>
      <c r="AB219" s="109">
        <f>ROUND((H217*(V219+Y219)*G217*I217/1000000),5)</f>
        <v>0</v>
      </c>
      <c r="AC219" s="109">
        <f>ROUND((H217*(W219+Z219)*G217*J217/1000000),5)</f>
        <v>3.0000000000000001E-5</v>
      </c>
      <c r="AD219" s="109">
        <f>ROUND((H217*(X219+AA219)*G217*K217/1000000),5)</f>
        <v>1.8000000000000001E-4</v>
      </c>
      <c r="AE219" s="103" t="s">
        <v>56</v>
      </c>
      <c r="AF219" s="104" t="s">
        <v>57</v>
      </c>
      <c r="AG219" s="105">
        <f>ROUND(((X219*F217/3600)),4)</f>
        <v>8.0000000000000004E-4</v>
      </c>
      <c r="AH219" s="105">
        <f>AB219+AC219+AD219</f>
        <v>2.1000000000000001E-4</v>
      </c>
    </row>
    <row r="220" spans="1:36" ht="12.95" customHeight="1" x14ac:dyDescent="0.25">
      <c r="A220" s="576"/>
      <c r="B220" s="166"/>
      <c r="C220" s="94"/>
      <c r="D220" s="94"/>
      <c r="E220" s="94"/>
      <c r="F220" s="94"/>
      <c r="G220" s="94"/>
      <c r="H220" s="94"/>
      <c r="I220" s="94"/>
      <c r="J220" s="94"/>
      <c r="K220" s="94"/>
      <c r="L220" s="99"/>
      <c r="M220" s="99"/>
      <c r="N220" s="94"/>
      <c r="O220" s="94"/>
      <c r="P220" s="94"/>
      <c r="Q220" s="105">
        <v>0.45</v>
      </c>
      <c r="R220" s="106">
        <v>0.4</v>
      </c>
      <c r="S220" s="105">
        <v>1.1000000000000001</v>
      </c>
      <c r="T220" s="106">
        <v>1</v>
      </c>
      <c r="U220" s="106">
        <v>1.2</v>
      </c>
      <c r="V220" s="108">
        <f>ROUND((R220*N217+T220*L217+Q220*D217),4)</f>
        <v>2.06</v>
      </c>
      <c r="W220" s="109">
        <f>ROUND((S220*0.9*O217+U220*0.9*L217+Q220*D217),4)</f>
        <v>6.4008000000000003</v>
      </c>
      <c r="X220" s="109">
        <f>ROUND((S220*P217+U220*L217+Q220*D217),4)</f>
        <v>22.462</v>
      </c>
      <c r="Y220" s="109">
        <f>ROUND((T220*M217+Q220*E217),4)</f>
        <v>0.46</v>
      </c>
      <c r="Z220" s="109">
        <f>ROUND((U220*0.9*M217+Q220*E217),4)</f>
        <v>0.46079999999999999</v>
      </c>
      <c r="AA220" s="109">
        <f>ROUND((U220*M217+Q220*E217),4)</f>
        <v>0.46200000000000002</v>
      </c>
      <c r="AB220" s="109">
        <f>ROUND((H217*(V220+Y220)*G217*I217/1000000),4)</f>
        <v>0</v>
      </c>
      <c r="AC220" s="109">
        <f>ROUND((H217*(W220+Z220)*G217*J217/1000000),4)</f>
        <v>2.0000000000000001E-4</v>
      </c>
      <c r="AD220" s="109">
        <f>ROUND((H217*(X220+AA220)*G217*K217/1000000),4)</f>
        <v>1.4E-3</v>
      </c>
      <c r="AE220" s="103" t="s">
        <v>177</v>
      </c>
      <c r="AF220" s="104" t="s">
        <v>178</v>
      </c>
      <c r="AG220" s="105">
        <f>ROUND(((X220*F217/3600)),4)</f>
        <v>6.1999999999999998E-3</v>
      </c>
      <c r="AH220" s="105">
        <f>AB220+AC220+AD220</f>
        <v>1.6000000000000001E-3</v>
      </c>
    </row>
    <row r="221" spans="1:36" ht="12.95" customHeight="1" x14ac:dyDescent="0.25">
      <c r="A221" s="577"/>
      <c r="B221" s="94"/>
      <c r="C221" s="94"/>
      <c r="D221" s="94"/>
      <c r="E221" s="94"/>
      <c r="F221" s="94"/>
      <c r="G221" s="94"/>
      <c r="H221" s="94"/>
      <c r="I221" s="94"/>
      <c r="J221" s="94"/>
      <c r="K221" s="94"/>
      <c r="L221" s="99"/>
      <c r="M221" s="99"/>
      <c r="N221" s="94"/>
      <c r="O221" s="94"/>
      <c r="P221" s="94"/>
      <c r="Q221" s="105">
        <v>2.9</v>
      </c>
      <c r="R221" s="106">
        <v>3</v>
      </c>
      <c r="S221" s="105">
        <v>8.1999999999999993</v>
      </c>
      <c r="T221" s="106">
        <v>6.1</v>
      </c>
      <c r="U221" s="106">
        <v>7.4</v>
      </c>
      <c r="V221" s="167">
        <f>ROUND((R221*N217+T221*L217+Q221*D217),4)</f>
        <v>14.961</v>
      </c>
      <c r="W221" s="168">
        <f>ROUND((S221*0.9*O217+U221*0.9*L217+Q221*D217),4)</f>
        <v>47.246600000000001</v>
      </c>
      <c r="X221" s="168">
        <f>ROUND((S221*P217+U221*L217+Q221*D217),4)</f>
        <v>166.97399999999999</v>
      </c>
      <c r="Y221" s="168">
        <f>ROUND((T221*M217+Q221*E217),4)</f>
        <v>2.9609999999999999</v>
      </c>
      <c r="Z221" s="168">
        <f>ROUND((U221*0.9*M217+Q221*E217),4)</f>
        <v>2.9666000000000001</v>
      </c>
      <c r="AA221" s="168">
        <f>ROUND((U221*M217+Q221*E217),4)</f>
        <v>2.9740000000000002</v>
      </c>
      <c r="AB221" s="168">
        <f>ROUND((H217*(V221+Y221)*G217*I217/1000000),4)</f>
        <v>0</v>
      </c>
      <c r="AC221" s="168">
        <f>ROUND((H217*(W221+Z221)*G217*J217/1000000),4)</f>
        <v>1.5E-3</v>
      </c>
      <c r="AD221" s="168">
        <f>ROUND((H217*(X221+AA221)*G217*K217/1000000),4)</f>
        <v>1.0200000000000001E-2</v>
      </c>
      <c r="AE221" s="103" t="s">
        <v>65</v>
      </c>
      <c r="AF221" s="104" t="s">
        <v>66</v>
      </c>
      <c r="AG221" s="105">
        <f>ROUND(((X221*F217/3600)),4)</f>
        <v>4.6399999999999997E-2</v>
      </c>
      <c r="AH221" s="105">
        <f>AB221+AC221+AD221</f>
        <v>1.17E-2</v>
      </c>
    </row>
    <row r="222" spans="1:36" ht="12.95" customHeight="1" x14ac:dyDescent="0.25">
      <c r="A222" s="58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2"/>
      <c r="M222" s="102"/>
      <c r="N222" s="101"/>
      <c r="O222" s="101"/>
      <c r="P222" s="101"/>
      <c r="Q222" s="105">
        <v>0.04</v>
      </c>
      <c r="R222" s="106">
        <v>0.04</v>
      </c>
      <c r="S222" s="105">
        <v>0.16</v>
      </c>
      <c r="T222" s="106">
        <v>0.3</v>
      </c>
      <c r="U222" s="106">
        <v>0.4</v>
      </c>
      <c r="V222" s="167">
        <f>ROUND((R222*N217+T222*L217+Q222*D217),4)</f>
        <v>0.20300000000000001</v>
      </c>
      <c r="W222" s="168">
        <f>ROUND((S222*0.9*O217+U222*0.9*L217+Q222*D217),4)</f>
        <v>0.90759999999999996</v>
      </c>
      <c r="X222" s="168">
        <f>ROUND((S222*P217+U222*L217+Q222*D217),4)</f>
        <v>3.2440000000000002</v>
      </c>
      <c r="Y222" s="168">
        <f>ROUND((T222*M217+Q222*E217),4)</f>
        <v>4.2999999999999997E-2</v>
      </c>
      <c r="Z222" s="168">
        <f>ROUND((U222*0.9*M217+Q222*E217),4)</f>
        <v>4.36E-2</v>
      </c>
      <c r="AA222" s="168">
        <f>ROUND((U222*M217+Q222*E217),4)</f>
        <v>4.3999999999999997E-2</v>
      </c>
      <c r="AB222" s="168">
        <f>ROUND((H217*(V222+Y222)*G217*I217/1000000),5)</f>
        <v>0</v>
      </c>
      <c r="AC222" s="168">
        <f>ROUND((H217*(W222+Z222)*G217*J217/1000000),5)</f>
        <v>3.0000000000000001E-5</v>
      </c>
      <c r="AD222" s="168">
        <f>ROUND((H217*(X222+AA222)*G217*K217/1000000),4)</f>
        <v>2.0000000000000001E-4</v>
      </c>
      <c r="AE222" s="103" t="s">
        <v>213</v>
      </c>
      <c r="AF222" s="104" t="s">
        <v>62</v>
      </c>
      <c r="AG222" s="105">
        <f>ROUND(((X222*F217/3600)),4)</f>
        <v>8.9999999999999998E-4</v>
      </c>
      <c r="AH222" s="105">
        <f>AB222+AC222+AD222</f>
        <v>2.3000000000000001E-4</v>
      </c>
      <c r="AI222" s="61">
        <f>SUM(AG217:AG222)</f>
        <v>6.4899999999999999E-2</v>
      </c>
      <c r="AJ222" s="61">
        <f>SUM(AH217:AH222)</f>
        <v>1.6440000000000003E-2</v>
      </c>
    </row>
    <row r="223" spans="1:36" ht="12.95" customHeight="1" x14ac:dyDescent="0.25">
      <c r="A223" s="1518" t="s">
        <v>698</v>
      </c>
      <c r="B223" s="1519"/>
      <c r="C223" s="1519"/>
      <c r="D223" s="1519"/>
      <c r="E223" s="1519"/>
      <c r="F223" s="1519"/>
      <c r="G223" s="1519"/>
      <c r="H223" s="1519"/>
      <c r="I223" s="1519"/>
      <c r="J223" s="1519"/>
      <c r="K223" s="1519"/>
      <c r="L223" s="1519"/>
      <c r="M223" s="1519"/>
      <c r="N223" s="1519"/>
      <c r="O223" s="1519"/>
      <c r="P223" s="1519"/>
      <c r="Q223" s="1519"/>
      <c r="R223" s="1519"/>
      <c r="S223" s="1519"/>
      <c r="T223" s="1520"/>
      <c r="U223" s="1520"/>
      <c r="V223" s="1519"/>
      <c r="W223" s="1519"/>
      <c r="X223" s="1519"/>
      <c r="Y223" s="1519"/>
      <c r="Z223" s="1519"/>
      <c r="AA223" s="1519"/>
      <c r="AB223" s="1519"/>
      <c r="AC223" s="1519"/>
      <c r="AD223" s="1519"/>
      <c r="AE223" s="1519"/>
      <c r="AF223" s="1519"/>
      <c r="AG223" s="1519"/>
      <c r="AH223" s="1521"/>
    </row>
    <row r="224" spans="1:36" ht="12.95" customHeight="1" x14ac:dyDescent="0.25">
      <c r="A224" s="574" t="s">
        <v>557</v>
      </c>
      <c r="B224" s="93" t="s">
        <v>211</v>
      </c>
      <c r="C224" s="1109" t="s">
        <v>444</v>
      </c>
      <c r="D224" s="97">
        <v>1</v>
      </c>
      <c r="E224" s="97">
        <v>1</v>
      </c>
      <c r="F224" s="97">
        <v>1</v>
      </c>
      <c r="G224" s="97">
        <v>1</v>
      </c>
      <c r="H224" s="97">
        <f>ROUND((F224/G224),2)</f>
        <v>1</v>
      </c>
      <c r="I224" s="490">
        <v>0</v>
      </c>
      <c r="J224" s="490">
        <v>30</v>
      </c>
      <c r="K224" s="491">
        <v>60</v>
      </c>
      <c r="L224" s="98">
        <v>0.01</v>
      </c>
      <c r="M224" s="98">
        <v>0.01</v>
      </c>
      <c r="N224" s="97">
        <v>4</v>
      </c>
      <c r="O224" s="97">
        <v>6</v>
      </c>
      <c r="P224" s="97">
        <v>20</v>
      </c>
      <c r="Q224" s="97">
        <v>1</v>
      </c>
      <c r="R224" s="96">
        <v>1</v>
      </c>
      <c r="S224" s="97">
        <v>2</v>
      </c>
      <c r="T224" s="96">
        <v>4</v>
      </c>
      <c r="U224" s="96">
        <v>4</v>
      </c>
      <c r="V224" s="108">
        <f>ROUND((R224*N224+T224*L224+Q224*D224),4)</f>
        <v>5.04</v>
      </c>
      <c r="W224" s="109">
        <f>ROUND((S224*O224+U224*L224+Q224*D224),4)</f>
        <v>13.04</v>
      </c>
      <c r="X224" s="109">
        <f>ROUND((S224*P224+U224*L224+Q224*D224),4)</f>
        <v>41.04</v>
      </c>
      <c r="Y224" s="109">
        <f>ROUND((T224*M224+Q224*E224),4)</f>
        <v>1.04</v>
      </c>
      <c r="Z224" s="109">
        <f>ROUND((U224*M224+Q224*E224),4)</f>
        <v>1.04</v>
      </c>
      <c r="AA224" s="109">
        <f>ROUND((U224*M224+Q224*E224),4)</f>
        <v>1.04</v>
      </c>
      <c r="AB224" s="109">
        <f>ROUND((H224*(V224+Y224)*G224*I224/1000000),4)</f>
        <v>0</v>
      </c>
      <c r="AC224" s="109">
        <f>ROUND((H224*(W224+Z224)*G224*J224/1000000),4)</f>
        <v>4.0000000000000002E-4</v>
      </c>
      <c r="AD224" s="109">
        <f>ROUND((H224*(X224+AA224)*G224*K224/1000000),4)</f>
        <v>2.5000000000000001E-3</v>
      </c>
      <c r="AE224" s="103" t="s">
        <v>48</v>
      </c>
      <c r="AF224" s="104" t="s">
        <v>49</v>
      </c>
      <c r="AG224" s="105">
        <f>ROUND(((X224*F224/3600)*0.8),4)</f>
        <v>9.1000000000000004E-3</v>
      </c>
      <c r="AH224" s="105">
        <f>ROUND(((AB224+AC224+AD224)*0.8),4)</f>
        <v>2.3E-3</v>
      </c>
    </row>
    <row r="225" spans="1:36" ht="12.95" customHeight="1" x14ac:dyDescent="0.25">
      <c r="A225" s="575" t="s">
        <v>166</v>
      </c>
      <c r="B225" s="94" t="s">
        <v>212</v>
      </c>
      <c r="C225" s="1110"/>
      <c r="D225" s="94"/>
      <c r="E225" s="94"/>
      <c r="F225" s="94"/>
      <c r="G225" s="94"/>
      <c r="H225" s="94"/>
      <c r="I225" s="94"/>
      <c r="J225" s="94"/>
      <c r="K225" s="94"/>
      <c r="L225" s="99"/>
      <c r="M225" s="99"/>
      <c r="N225" s="94"/>
      <c r="O225" s="94"/>
      <c r="P225" s="94"/>
      <c r="Q225" s="101"/>
      <c r="R225" s="101"/>
      <c r="S225" s="102"/>
      <c r="T225" s="101"/>
      <c r="U225" s="101"/>
      <c r="V225" s="110"/>
      <c r="W225" s="111"/>
      <c r="X225" s="111"/>
      <c r="Y225" s="111"/>
      <c r="Z225" s="111"/>
      <c r="AA225" s="111"/>
      <c r="AB225" s="111"/>
      <c r="AC225" s="111"/>
      <c r="AD225" s="111"/>
      <c r="AE225" s="103" t="s">
        <v>51</v>
      </c>
      <c r="AF225" s="104" t="s">
        <v>52</v>
      </c>
      <c r="AG225" s="105">
        <f>ROUND(((X224*F224/3600)*0.13),4)</f>
        <v>1.5E-3</v>
      </c>
      <c r="AH225" s="105">
        <f>ROUND(((AB224+AC224+AD224)*0.13),4)</f>
        <v>4.0000000000000002E-4</v>
      </c>
    </row>
    <row r="226" spans="1:36" ht="12.95" customHeight="1" x14ac:dyDescent="0.25">
      <c r="A226" s="576"/>
      <c r="B226" s="95" t="s">
        <v>491</v>
      </c>
      <c r="C226" s="95"/>
      <c r="D226" s="94"/>
      <c r="E226" s="94"/>
      <c r="F226" s="94"/>
      <c r="G226" s="94"/>
      <c r="H226" s="94"/>
      <c r="I226" s="94"/>
      <c r="J226" s="94"/>
      <c r="K226" s="94"/>
      <c r="L226" s="99"/>
      <c r="M226" s="99"/>
      <c r="N226" s="94"/>
      <c r="O226" s="94"/>
      <c r="P226" s="94"/>
      <c r="Q226" s="105">
        <v>0.1</v>
      </c>
      <c r="R226" s="106">
        <v>0.113</v>
      </c>
      <c r="S226" s="107">
        <v>0.13600000000000001</v>
      </c>
      <c r="T226" s="106">
        <v>0.54</v>
      </c>
      <c r="U226" s="106">
        <v>0.67</v>
      </c>
      <c r="V226" s="108">
        <f>ROUND((R226*N224+T226*L224+Q226*D224),4)</f>
        <v>0.55740000000000001</v>
      </c>
      <c r="W226" s="109">
        <f>ROUND((S226*0.9*O224+U226*0.9*L224+Q226*D224),4)</f>
        <v>0.84040000000000004</v>
      </c>
      <c r="X226" s="109">
        <f>ROUND((S226*P224+U226*L224+Q226*D224),4)</f>
        <v>2.8267000000000002</v>
      </c>
      <c r="Y226" s="109">
        <f>ROUND((T226*M224+Q226*E224),4)</f>
        <v>0.10539999999999999</v>
      </c>
      <c r="Z226" s="109">
        <f>ROUND((U226*0.9*M224+Q226*E224),4)</f>
        <v>0.106</v>
      </c>
      <c r="AA226" s="109">
        <f>ROUND((U226*M224+Q226*E224),4)</f>
        <v>0.1067</v>
      </c>
      <c r="AB226" s="109">
        <f>ROUND((H224*(V226+Y226)*G224*I224/1000000),5)</f>
        <v>0</v>
      </c>
      <c r="AC226" s="109">
        <f>ROUND((H224*(W226+Z226)*G224*J224/1000000),5)</f>
        <v>3.0000000000000001E-5</v>
      </c>
      <c r="AD226" s="109">
        <f>ROUND((H224*(X226+AA226)*G224*K224/1000000),5)</f>
        <v>1.8000000000000001E-4</v>
      </c>
      <c r="AE226" s="103" t="s">
        <v>56</v>
      </c>
      <c r="AF226" s="104" t="s">
        <v>57</v>
      </c>
      <c r="AG226" s="105">
        <f>ROUND(((X226*F224/3600)),4)</f>
        <v>8.0000000000000004E-4</v>
      </c>
      <c r="AH226" s="105">
        <f>AB226+AC226+AD226</f>
        <v>2.1000000000000001E-4</v>
      </c>
    </row>
    <row r="227" spans="1:36" ht="12.95" customHeight="1" x14ac:dyDescent="0.25">
      <c r="A227" s="576"/>
      <c r="B227" s="166"/>
      <c r="C227" s="94"/>
      <c r="D227" s="94"/>
      <c r="E227" s="94"/>
      <c r="F227" s="94"/>
      <c r="G227" s="94"/>
      <c r="H227" s="94"/>
      <c r="I227" s="94"/>
      <c r="J227" s="94"/>
      <c r="K227" s="94"/>
      <c r="L227" s="99"/>
      <c r="M227" s="99"/>
      <c r="N227" s="94"/>
      <c r="O227" s="94"/>
      <c r="P227" s="94"/>
      <c r="Q227" s="105">
        <v>0.45</v>
      </c>
      <c r="R227" s="106">
        <v>0.4</v>
      </c>
      <c r="S227" s="105">
        <v>1.1000000000000001</v>
      </c>
      <c r="T227" s="106">
        <v>1</v>
      </c>
      <c r="U227" s="106">
        <v>1.2</v>
      </c>
      <c r="V227" s="108">
        <f>ROUND((R227*N224+T227*L224+Q227*D224),4)</f>
        <v>2.06</v>
      </c>
      <c r="W227" s="109">
        <f>ROUND((S227*0.9*O224+U227*0.9*L224+Q227*D224),4)</f>
        <v>6.4008000000000003</v>
      </c>
      <c r="X227" s="109">
        <f>ROUND((S227*P224+U227*L224+Q227*D224),4)</f>
        <v>22.462</v>
      </c>
      <c r="Y227" s="109">
        <f>ROUND((T227*M224+Q227*E224),4)</f>
        <v>0.46</v>
      </c>
      <c r="Z227" s="109">
        <f>ROUND((U227*0.9*M224+Q227*E224),4)</f>
        <v>0.46079999999999999</v>
      </c>
      <c r="AA227" s="109">
        <f>ROUND((U227*M224+Q227*E224),4)</f>
        <v>0.46200000000000002</v>
      </c>
      <c r="AB227" s="109">
        <f>ROUND((H224*(V227+Y227)*G224*I224/1000000),4)</f>
        <v>0</v>
      </c>
      <c r="AC227" s="109">
        <f>ROUND((H224*(W227+Z227)*G224*J224/1000000),4)</f>
        <v>2.0000000000000001E-4</v>
      </c>
      <c r="AD227" s="109">
        <f>ROUND((H224*(X227+AA227)*G224*K224/1000000),4)</f>
        <v>1.4E-3</v>
      </c>
      <c r="AE227" s="103" t="s">
        <v>177</v>
      </c>
      <c r="AF227" s="104" t="s">
        <v>178</v>
      </c>
      <c r="AG227" s="105">
        <f>ROUND(((X227*F224/3600)),4)</f>
        <v>6.1999999999999998E-3</v>
      </c>
      <c r="AH227" s="105">
        <f>AB227+AC227+AD227</f>
        <v>1.6000000000000001E-3</v>
      </c>
    </row>
    <row r="228" spans="1:36" ht="12.95" customHeight="1" x14ac:dyDescent="0.25">
      <c r="A228" s="577"/>
      <c r="B228" s="94"/>
      <c r="C228" s="94"/>
      <c r="D228" s="94"/>
      <c r="E228" s="94"/>
      <c r="F228" s="94"/>
      <c r="G228" s="94"/>
      <c r="H228" s="94"/>
      <c r="I228" s="94"/>
      <c r="J228" s="94"/>
      <c r="K228" s="94"/>
      <c r="L228" s="99"/>
      <c r="M228" s="99"/>
      <c r="N228" s="94"/>
      <c r="O228" s="94"/>
      <c r="P228" s="94"/>
      <c r="Q228" s="105">
        <v>2.9</v>
      </c>
      <c r="R228" s="106">
        <v>3</v>
      </c>
      <c r="S228" s="105">
        <v>8.1999999999999993</v>
      </c>
      <c r="T228" s="106">
        <v>6.1</v>
      </c>
      <c r="U228" s="106">
        <v>7.4</v>
      </c>
      <c r="V228" s="167">
        <f>ROUND((R228*N224+T228*L224+Q228*D224),4)</f>
        <v>14.961</v>
      </c>
      <c r="W228" s="168">
        <f>ROUND((S228*0.9*O224+U228*0.9*L224+Q228*D224),4)</f>
        <v>47.246600000000001</v>
      </c>
      <c r="X228" s="168">
        <f>ROUND((S228*P224+U228*L224+Q228*D224),4)</f>
        <v>166.97399999999999</v>
      </c>
      <c r="Y228" s="168">
        <f>ROUND((T228*M224+Q228*E224),4)</f>
        <v>2.9609999999999999</v>
      </c>
      <c r="Z228" s="168">
        <f>ROUND((U228*0.9*M224+Q228*E224),4)</f>
        <v>2.9666000000000001</v>
      </c>
      <c r="AA228" s="168">
        <f>ROUND((U228*M224+Q228*E224),4)</f>
        <v>2.9740000000000002</v>
      </c>
      <c r="AB228" s="168">
        <f>ROUND((H224*(V228+Y228)*G224*I224/1000000),4)</f>
        <v>0</v>
      </c>
      <c r="AC228" s="168">
        <f>ROUND((H224*(W228+Z228)*G224*J224/1000000),4)</f>
        <v>1.5E-3</v>
      </c>
      <c r="AD228" s="168">
        <f>ROUND((H224*(X228+AA228)*G224*K224/1000000),4)</f>
        <v>1.0200000000000001E-2</v>
      </c>
      <c r="AE228" s="103" t="s">
        <v>65</v>
      </c>
      <c r="AF228" s="104" t="s">
        <v>66</v>
      </c>
      <c r="AG228" s="105">
        <f>ROUND(((X228*F224/3600)),4)</f>
        <v>4.6399999999999997E-2</v>
      </c>
      <c r="AH228" s="105">
        <f>AB228+AC228+AD228</f>
        <v>1.17E-2</v>
      </c>
    </row>
    <row r="229" spans="1:36" ht="12.95" customHeight="1" x14ac:dyDescent="0.25">
      <c r="A229" s="58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2"/>
      <c r="M229" s="102"/>
      <c r="N229" s="101"/>
      <c r="O229" s="101"/>
      <c r="P229" s="101"/>
      <c r="Q229" s="105">
        <v>0.04</v>
      </c>
      <c r="R229" s="106">
        <v>0.04</v>
      </c>
      <c r="S229" s="105">
        <v>0.16</v>
      </c>
      <c r="T229" s="106">
        <v>0.3</v>
      </c>
      <c r="U229" s="106">
        <v>0.4</v>
      </c>
      <c r="V229" s="167">
        <f>ROUND((R229*N224+T229*L224+Q229*D224),4)</f>
        <v>0.20300000000000001</v>
      </c>
      <c r="W229" s="168">
        <f>ROUND((S229*0.9*O224+U229*0.9*L224+Q229*D224),4)</f>
        <v>0.90759999999999996</v>
      </c>
      <c r="X229" s="168">
        <f>ROUND((S229*P224+U229*L224+Q229*D224),4)</f>
        <v>3.2440000000000002</v>
      </c>
      <c r="Y229" s="168">
        <f>ROUND((T229*M224+Q229*E224),4)</f>
        <v>4.2999999999999997E-2</v>
      </c>
      <c r="Z229" s="168">
        <f>ROUND((U229*0.9*M224+Q229*E224),4)</f>
        <v>4.36E-2</v>
      </c>
      <c r="AA229" s="168">
        <f>ROUND((U229*M224+Q229*E224),4)</f>
        <v>4.3999999999999997E-2</v>
      </c>
      <c r="AB229" s="168">
        <f>ROUND((H224*(V229+Y229)*G224*I224/1000000),5)</f>
        <v>0</v>
      </c>
      <c r="AC229" s="168">
        <f>ROUND((H224*(W229+Z229)*G224*J224/1000000),5)</f>
        <v>3.0000000000000001E-5</v>
      </c>
      <c r="AD229" s="168">
        <f>ROUND((H224*(X229+AA229)*G224*K224/1000000),4)</f>
        <v>2.0000000000000001E-4</v>
      </c>
      <c r="AE229" s="103" t="s">
        <v>213</v>
      </c>
      <c r="AF229" s="104" t="s">
        <v>62</v>
      </c>
      <c r="AG229" s="105">
        <f>ROUND(((X229*F224/3600)),4)</f>
        <v>8.9999999999999998E-4</v>
      </c>
      <c r="AH229" s="105">
        <f>AB229+AC229+AD229</f>
        <v>2.3000000000000001E-4</v>
      </c>
      <c r="AI229" s="61">
        <f>SUM(AG224:AG229)</f>
        <v>6.4899999999999999E-2</v>
      </c>
      <c r="AJ229" s="61">
        <f>SUM(AH224:AH229)</f>
        <v>1.6440000000000003E-2</v>
      </c>
    </row>
    <row r="230" spans="1:36" ht="12.95" customHeight="1" x14ac:dyDescent="0.25">
      <c r="A230" s="1518" t="s">
        <v>703</v>
      </c>
      <c r="B230" s="1519"/>
      <c r="C230" s="1519"/>
      <c r="D230" s="1519"/>
      <c r="E230" s="1519"/>
      <c r="F230" s="1519"/>
      <c r="G230" s="1519"/>
      <c r="H230" s="1519"/>
      <c r="I230" s="1519"/>
      <c r="J230" s="1519"/>
      <c r="K230" s="1519"/>
      <c r="L230" s="1519"/>
      <c r="M230" s="1519"/>
      <c r="N230" s="1519"/>
      <c r="O230" s="1519"/>
      <c r="P230" s="1519"/>
      <c r="Q230" s="1519"/>
      <c r="R230" s="1519"/>
      <c r="S230" s="1519"/>
      <c r="T230" s="1520"/>
      <c r="U230" s="1520"/>
      <c r="V230" s="1519"/>
      <c r="W230" s="1519"/>
      <c r="X230" s="1519"/>
      <c r="Y230" s="1519"/>
      <c r="Z230" s="1519"/>
      <c r="AA230" s="1519"/>
      <c r="AB230" s="1519"/>
      <c r="AC230" s="1519"/>
      <c r="AD230" s="1519"/>
      <c r="AE230" s="1519"/>
      <c r="AF230" s="1519"/>
      <c r="AG230" s="1519"/>
      <c r="AH230" s="1521"/>
    </row>
    <row r="231" spans="1:36" ht="12.95" customHeight="1" x14ac:dyDescent="0.25">
      <c r="A231" s="574" t="s">
        <v>676</v>
      </c>
      <c r="B231" s="93" t="s">
        <v>211</v>
      </c>
      <c r="C231" s="1109" t="s">
        <v>444</v>
      </c>
      <c r="D231" s="97">
        <v>1</v>
      </c>
      <c r="E231" s="97">
        <v>1</v>
      </c>
      <c r="F231" s="97">
        <v>1</v>
      </c>
      <c r="G231" s="97">
        <v>1</v>
      </c>
      <c r="H231" s="97">
        <f>ROUND((F231/G231),2)</f>
        <v>1</v>
      </c>
      <c r="I231" s="490">
        <v>0</v>
      </c>
      <c r="J231" s="490">
        <v>30</v>
      </c>
      <c r="K231" s="491">
        <v>60</v>
      </c>
      <c r="L231" s="98">
        <v>0.01</v>
      </c>
      <c r="M231" s="98">
        <v>0.01</v>
      </c>
      <c r="N231" s="97">
        <v>4</v>
      </c>
      <c r="O231" s="97">
        <v>6</v>
      </c>
      <c r="P231" s="97">
        <v>20</v>
      </c>
      <c r="Q231" s="97">
        <v>1</v>
      </c>
      <c r="R231" s="96">
        <v>1</v>
      </c>
      <c r="S231" s="97">
        <v>2</v>
      </c>
      <c r="T231" s="96">
        <v>4</v>
      </c>
      <c r="U231" s="96">
        <v>4</v>
      </c>
      <c r="V231" s="108">
        <f>ROUND((R231*N231+T231*L231+Q231*D231),4)</f>
        <v>5.04</v>
      </c>
      <c r="W231" s="109">
        <f>ROUND((S231*O231+U231*L231+Q231*D231),4)</f>
        <v>13.04</v>
      </c>
      <c r="X231" s="109">
        <f>ROUND((S231*P231+U231*L231+Q231*D231),4)</f>
        <v>41.04</v>
      </c>
      <c r="Y231" s="109">
        <f>ROUND((T231*M231+Q231*E231),4)</f>
        <v>1.04</v>
      </c>
      <c r="Z231" s="109">
        <f>ROUND((U231*M231+Q231*E231),4)</f>
        <v>1.04</v>
      </c>
      <c r="AA231" s="109">
        <f>ROUND((U231*M231+Q231*E231),4)</f>
        <v>1.04</v>
      </c>
      <c r="AB231" s="109">
        <f>ROUND((H231*(V231+Y231)*G231*I231/1000000),4)</f>
        <v>0</v>
      </c>
      <c r="AC231" s="109">
        <f>ROUND((H231*(W231+Z231)*G231*J231/1000000),4)</f>
        <v>4.0000000000000002E-4</v>
      </c>
      <c r="AD231" s="109">
        <f>ROUND((H231*(X231+AA231)*G231*K231/1000000),4)</f>
        <v>2.5000000000000001E-3</v>
      </c>
      <c r="AE231" s="103" t="s">
        <v>48</v>
      </c>
      <c r="AF231" s="104" t="s">
        <v>49</v>
      </c>
      <c r="AG231" s="105">
        <f>ROUND(((X231*F231/3600)*0.8),4)</f>
        <v>9.1000000000000004E-3</v>
      </c>
      <c r="AH231" s="105">
        <f>ROUND(((AB231+AC231+AD231)*0.8),4)</f>
        <v>2.3E-3</v>
      </c>
    </row>
    <row r="232" spans="1:36" ht="12.95" customHeight="1" x14ac:dyDescent="0.25">
      <c r="A232" s="575" t="s">
        <v>150</v>
      </c>
      <c r="B232" s="94" t="s">
        <v>212</v>
      </c>
      <c r="C232" s="1110"/>
      <c r="D232" s="94"/>
      <c r="E232" s="94"/>
      <c r="F232" s="94"/>
      <c r="G232" s="94"/>
      <c r="H232" s="94"/>
      <c r="I232" s="94"/>
      <c r="J232" s="94"/>
      <c r="K232" s="94"/>
      <c r="L232" s="99"/>
      <c r="M232" s="99"/>
      <c r="N232" s="94"/>
      <c r="O232" s="94"/>
      <c r="P232" s="94"/>
      <c r="Q232" s="101"/>
      <c r="R232" s="101"/>
      <c r="S232" s="102"/>
      <c r="T232" s="101"/>
      <c r="U232" s="101"/>
      <c r="V232" s="110"/>
      <c r="W232" s="111"/>
      <c r="X232" s="111"/>
      <c r="Y232" s="111"/>
      <c r="Z232" s="111"/>
      <c r="AA232" s="111"/>
      <c r="AB232" s="111"/>
      <c r="AC232" s="111"/>
      <c r="AD232" s="111"/>
      <c r="AE232" s="103" t="s">
        <v>51</v>
      </c>
      <c r="AF232" s="104" t="s">
        <v>52</v>
      </c>
      <c r="AG232" s="105">
        <f>ROUND(((X231*F231/3600)*0.13),4)</f>
        <v>1.5E-3</v>
      </c>
      <c r="AH232" s="105">
        <f>ROUND(((AB231+AC231+AD231)*0.13),4)</f>
        <v>4.0000000000000002E-4</v>
      </c>
    </row>
    <row r="233" spans="1:36" ht="12.95" customHeight="1" x14ac:dyDescent="0.25">
      <c r="A233" s="576"/>
      <c r="B233" s="95" t="s">
        <v>491</v>
      </c>
      <c r="C233" s="95"/>
      <c r="D233" s="94"/>
      <c r="E233" s="94"/>
      <c r="F233" s="94"/>
      <c r="G233" s="94"/>
      <c r="H233" s="94"/>
      <c r="I233" s="94"/>
      <c r="J233" s="94"/>
      <c r="K233" s="94"/>
      <c r="L233" s="99"/>
      <c r="M233" s="99"/>
      <c r="N233" s="94"/>
      <c r="O233" s="94"/>
      <c r="P233" s="94"/>
      <c r="Q233" s="105">
        <v>0.1</v>
      </c>
      <c r="R233" s="106">
        <v>0.113</v>
      </c>
      <c r="S233" s="107">
        <v>0.13600000000000001</v>
      </c>
      <c r="T233" s="106">
        <v>0.54</v>
      </c>
      <c r="U233" s="106">
        <v>0.67</v>
      </c>
      <c r="V233" s="108">
        <f>ROUND((R233*N231+T233*L231+Q233*D231),4)</f>
        <v>0.55740000000000001</v>
      </c>
      <c r="W233" s="109">
        <f>ROUND((S233*0.9*O231+U233*0.9*L231+Q233*D231),4)</f>
        <v>0.84040000000000004</v>
      </c>
      <c r="X233" s="109">
        <f>ROUND((S233*P231+U233*L231+Q233*D231),4)</f>
        <v>2.8267000000000002</v>
      </c>
      <c r="Y233" s="109">
        <f>ROUND((T233*M231+Q233*E231),4)</f>
        <v>0.10539999999999999</v>
      </c>
      <c r="Z233" s="109">
        <f>ROUND((U233*0.9*M231+Q233*E231),4)</f>
        <v>0.106</v>
      </c>
      <c r="AA233" s="109">
        <f>ROUND((U233*M231+Q233*E231),4)</f>
        <v>0.1067</v>
      </c>
      <c r="AB233" s="109">
        <f>ROUND((H231*(V233+Y233)*G231*I231/1000000),5)</f>
        <v>0</v>
      </c>
      <c r="AC233" s="109">
        <f>ROUND((H231*(W233+Z233)*G231*J231/1000000),5)</f>
        <v>3.0000000000000001E-5</v>
      </c>
      <c r="AD233" s="109">
        <f>ROUND((H231*(X233+AA233)*G231*K231/1000000),5)</f>
        <v>1.8000000000000001E-4</v>
      </c>
      <c r="AE233" s="103" t="s">
        <v>56</v>
      </c>
      <c r="AF233" s="104" t="s">
        <v>57</v>
      </c>
      <c r="AG233" s="105">
        <f>ROUND(((X233*F231/3600)),4)</f>
        <v>8.0000000000000004E-4</v>
      </c>
      <c r="AH233" s="105">
        <f>AB233+AC233+AD233</f>
        <v>2.1000000000000001E-4</v>
      </c>
    </row>
    <row r="234" spans="1:36" ht="12.95" customHeight="1" x14ac:dyDescent="0.25">
      <c r="A234" s="576"/>
      <c r="B234" s="166"/>
      <c r="C234" s="94"/>
      <c r="D234" s="94"/>
      <c r="E234" s="94"/>
      <c r="F234" s="94"/>
      <c r="G234" s="94"/>
      <c r="H234" s="94"/>
      <c r="I234" s="94"/>
      <c r="J234" s="94"/>
      <c r="K234" s="94"/>
      <c r="L234" s="99"/>
      <c r="M234" s="99"/>
      <c r="N234" s="94"/>
      <c r="O234" s="94"/>
      <c r="P234" s="94"/>
      <c r="Q234" s="105">
        <v>0.45</v>
      </c>
      <c r="R234" s="106">
        <v>0.4</v>
      </c>
      <c r="S234" s="105">
        <v>1.1000000000000001</v>
      </c>
      <c r="T234" s="106">
        <v>1</v>
      </c>
      <c r="U234" s="106">
        <v>1.2</v>
      </c>
      <c r="V234" s="108">
        <f>ROUND((R234*N231+T234*L231+Q234*D231),4)</f>
        <v>2.06</v>
      </c>
      <c r="W234" s="109">
        <f>ROUND((S234*0.9*O231+U234*0.9*L231+Q234*D231),4)</f>
        <v>6.4008000000000003</v>
      </c>
      <c r="X234" s="109">
        <f>ROUND((S234*P231+U234*L231+Q234*D231),4)</f>
        <v>22.462</v>
      </c>
      <c r="Y234" s="109">
        <f>ROUND((T234*M231+Q234*E231),4)</f>
        <v>0.46</v>
      </c>
      <c r="Z234" s="109">
        <f>ROUND((U234*0.9*M231+Q234*E231),4)</f>
        <v>0.46079999999999999</v>
      </c>
      <c r="AA234" s="109">
        <f>ROUND((U234*M231+Q234*E231),4)</f>
        <v>0.46200000000000002</v>
      </c>
      <c r="AB234" s="109">
        <f>ROUND((H231*(V234+Y234)*G231*I231/1000000),4)</f>
        <v>0</v>
      </c>
      <c r="AC234" s="109">
        <f>ROUND((H231*(W234+Z234)*G231*J231/1000000),4)</f>
        <v>2.0000000000000001E-4</v>
      </c>
      <c r="AD234" s="109">
        <f>ROUND((H231*(X234+AA234)*G231*K231/1000000),4)</f>
        <v>1.4E-3</v>
      </c>
      <c r="AE234" s="103" t="s">
        <v>177</v>
      </c>
      <c r="AF234" s="104" t="s">
        <v>178</v>
      </c>
      <c r="AG234" s="105">
        <f>ROUND(((X234*F231/3600)),4)</f>
        <v>6.1999999999999998E-3</v>
      </c>
      <c r="AH234" s="105">
        <f>AB234+AC234+AD234</f>
        <v>1.6000000000000001E-3</v>
      </c>
    </row>
    <row r="235" spans="1:36" ht="12.95" customHeight="1" x14ac:dyDescent="0.25">
      <c r="A235" s="577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9"/>
      <c r="M235" s="99"/>
      <c r="N235" s="94"/>
      <c r="O235" s="94"/>
      <c r="P235" s="94"/>
      <c r="Q235" s="105">
        <v>2.9</v>
      </c>
      <c r="R235" s="106">
        <v>3</v>
      </c>
      <c r="S235" s="105">
        <v>8.1999999999999993</v>
      </c>
      <c r="T235" s="106">
        <v>6.1</v>
      </c>
      <c r="U235" s="106">
        <v>7.4</v>
      </c>
      <c r="V235" s="167">
        <f>ROUND((R235*N231+T235*L231+Q235*D231),4)</f>
        <v>14.961</v>
      </c>
      <c r="W235" s="168">
        <f>ROUND((S235*0.9*O231+U235*0.9*L231+Q235*D231),4)</f>
        <v>47.246600000000001</v>
      </c>
      <c r="X235" s="168">
        <f>ROUND((S235*P231+U235*L231+Q235*D231),4)</f>
        <v>166.97399999999999</v>
      </c>
      <c r="Y235" s="168">
        <f>ROUND((T235*M231+Q235*E231),4)</f>
        <v>2.9609999999999999</v>
      </c>
      <c r="Z235" s="168">
        <f>ROUND((U235*0.9*M231+Q235*E231),4)</f>
        <v>2.9666000000000001</v>
      </c>
      <c r="AA235" s="168">
        <f>ROUND((U235*M231+Q235*E231),4)</f>
        <v>2.9740000000000002</v>
      </c>
      <c r="AB235" s="168">
        <f>ROUND((H231*(V235+Y235)*G231*I231/1000000),4)</f>
        <v>0</v>
      </c>
      <c r="AC235" s="168">
        <f>ROUND((H231*(W235+Z235)*G231*J231/1000000),4)</f>
        <v>1.5E-3</v>
      </c>
      <c r="AD235" s="168">
        <f>ROUND((H231*(X235+AA235)*G231*K231/1000000),4)</f>
        <v>1.0200000000000001E-2</v>
      </c>
      <c r="AE235" s="103" t="s">
        <v>65</v>
      </c>
      <c r="AF235" s="104" t="s">
        <v>66</v>
      </c>
      <c r="AG235" s="105">
        <f>ROUND(((X235*F231/3600)),4)</f>
        <v>4.6399999999999997E-2</v>
      </c>
      <c r="AH235" s="105">
        <f>AB235+AC235+AD235</f>
        <v>1.17E-2</v>
      </c>
    </row>
    <row r="236" spans="1:36" ht="12.95" customHeight="1" x14ac:dyDescent="0.25">
      <c r="A236" s="58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2"/>
      <c r="M236" s="102"/>
      <c r="N236" s="101"/>
      <c r="O236" s="101"/>
      <c r="P236" s="101"/>
      <c r="Q236" s="105">
        <v>0.04</v>
      </c>
      <c r="R236" s="106">
        <v>0.04</v>
      </c>
      <c r="S236" s="105">
        <v>0.16</v>
      </c>
      <c r="T236" s="106">
        <v>0.3</v>
      </c>
      <c r="U236" s="106">
        <v>0.4</v>
      </c>
      <c r="V236" s="167">
        <f>ROUND((R236*N231+T236*L231+Q236*D231),4)</f>
        <v>0.20300000000000001</v>
      </c>
      <c r="W236" s="168">
        <f>ROUND((S236*0.9*O231+U236*0.9*L231+Q236*D231),4)</f>
        <v>0.90759999999999996</v>
      </c>
      <c r="X236" s="168">
        <f>ROUND((S236*P231+U236*L231+Q236*D231),4)</f>
        <v>3.2440000000000002</v>
      </c>
      <c r="Y236" s="168">
        <f>ROUND((T236*M231+Q236*E231),4)</f>
        <v>4.2999999999999997E-2</v>
      </c>
      <c r="Z236" s="168">
        <f>ROUND((U236*0.9*M231+Q236*E231),4)</f>
        <v>4.36E-2</v>
      </c>
      <c r="AA236" s="168">
        <f>ROUND((U236*M231+Q236*E231),4)</f>
        <v>4.3999999999999997E-2</v>
      </c>
      <c r="AB236" s="168">
        <f>ROUND((H231*(V236+Y236)*G231*I231/1000000),5)</f>
        <v>0</v>
      </c>
      <c r="AC236" s="168">
        <f>ROUND((H231*(W236+Z236)*G231*J231/1000000),5)</f>
        <v>3.0000000000000001E-5</v>
      </c>
      <c r="AD236" s="168">
        <f>ROUND((H231*(X236+AA236)*G231*K231/1000000),4)</f>
        <v>2.0000000000000001E-4</v>
      </c>
      <c r="AE236" s="103" t="s">
        <v>213</v>
      </c>
      <c r="AF236" s="104" t="s">
        <v>62</v>
      </c>
      <c r="AG236" s="105">
        <f>ROUND(((X236*F231/3600)),4)</f>
        <v>8.9999999999999998E-4</v>
      </c>
      <c r="AH236" s="105">
        <f>AB236+AC236+AD236</f>
        <v>2.3000000000000001E-4</v>
      </c>
      <c r="AI236" s="61">
        <f>SUM(AG231:AG236)</f>
        <v>6.4899999999999999E-2</v>
      </c>
      <c r="AJ236" s="61">
        <f>SUM(AH231:AH236)</f>
        <v>1.6440000000000003E-2</v>
      </c>
    </row>
    <row r="237" spans="1:36" ht="12.95" customHeight="1" x14ac:dyDescent="0.25">
      <c r="A237" s="1518" t="s">
        <v>707</v>
      </c>
      <c r="B237" s="1519"/>
      <c r="C237" s="1519"/>
      <c r="D237" s="1519"/>
      <c r="E237" s="1519"/>
      <c r="F237" s="1519"/>
      <c r="G237" s="1519"/>
      <c r="H237" s="1519"/>
      <c r="I237" s="1519"/>
      <c r="J237" s="1519"/>
      <c r="K237" s="1519"/>
      <c r="L237" s="1519"/>
      <c r="M237" s="1519"/>
      <c r="N237" s="1519"/>
      <c r="O237" s="1519"/>
      <c r="P237" s="1519"/>
      <c r="Q237" s="1519"/>
      <c r="R237" s="1519"/>
      <c r="S237" s="1519"/>
      <c r="T237" s="1520"/>
      <c r="U237" s="1520"/>
      <c r="V237" s="1519"/>
      <c r="W237" s="1519"/>
      <c r="X237" s="1519"/>
      <c r="Y237" s="1519"/>
      <c r="Z237" s="1519"/>
      <c r="AA237" s="1519"/>
      <c r="AB237" s="1519"/>
      <c r="AC237" s="1519"/>
      <c r="AD237" s="1519"/>
      <c r="AE237" s="1519"/>
      <c r="AF237" s="1519"/>
      <c r="AG237" s="1519"/>
      <c r="AH237" s="1521"/>
    </row>
    <row r="238" spans="1:36" ht="12.95" customHeight="1" x14ac:dyDescent="0.25">
      <c r="A238" s="574" t="s">
        <v>704</v>
      </c>
      <c r="B238" s="93" t="s">
        <v>211</v>
      </c>
      <c r="C238" s="1109" t="s">
        <v>444</v>
      </c>
      <c r="D238" s="97">
        <v>1</v>
      </c>
      <c r="E238" s="97">
        <v>1</v>
      </c>
      <c r="F238" s="97">
        <v>1</v>
      </c>
      <c r="G238" s="97">
        <v>1</v>
      </c>
      <c r="H238" s="97">
        <f>ROUND((F238/G238),2)</f>
        <v>1</v>
      </c>
      <c r="I238" s="490">
        <v>0</v>
      </c>
      <c r="J238" s="490">
        <v>30</v>
      </c>
      <c r="K238" s="491">
        <v>60</v>
      </c>
      <c r="L238" s="98">
        <v>0.01</v>
      </c>
      <c r="M238" s="98">
        <v>0.01</v>
      </c>
      <c r="N238" s="97">
        <v>4</v>
      </c>
      <c r="O238" s="97">
        <v>6</v>
      </c>
      <c r="P238" s="97">
        <v>20</v>
      </c>
      <c r="Q238" s="97">
        <v>1</v>
      </c>
      <c r="R238" s="96">
        <v>1</v>
      </c>
      <c r="S238" s="97">
        <v>2</v>
      </c>
      <c r="T238" s="96">
        <v>4</v>
      </c>
      <c r="U238" s="96">
        <v>4</v>
      </c>
      <c r="V238" s="108">
        <f>ROUND((R238*N238+T238*L238+Q238*D238),4)</f>
        <v>5.04</v>
      </c>
      <c r="W238" s="109">
        <f>ROUND((S238*O238+U238*L238+Q238*D238),4)</f>
        <v>13.04</v>
      </c>
      <c r="X238" s="109">
        <f>ROUND((S238*P238+U238*L238+Q238*D238),4)</f>
        <v>41.04</v>
      </c>
      <c r="Y238" s="109">
        <f>ROUND((T238*M238+Q238*E238),4)</f>
        <v>1.04</v>
      </c>
      <c r="Z238" s="109">
        <f>ROUND((U238*M238+Q238*E238),4)</f>
        <v>1.04</v>
      </c>
      <c r="AA238" s="109">
        <f>ROUND((U238*M238+Q238*E238),4)</f>
        <v>1.04</v>
      </c>
      <c r="AB238" s="109">
        <f>ROUND((H238*(V238+Y238)*G238*I238/1000000),4)</f>
        <v>0</v>
      </c>
      <c r="AC238" s="109">
        <f>ROUND((H238*(W238+Z238)*G238*J238/1000000),4)</f>
        <v>4.0000000000000002E-4</v>
      </c>
      <c r="AD238" s="109">
        <f>ROUND((H238*(X238+AA238)*G238*K238/1000000),4)</f>
        <v>2.5000000000000001E-3</v>
      </c>
      <c r="AE238" s="103" t="s">
        <v>48</v>
      </c>
      <c r="AF238" s="104" t="s">
        <v>49</v>
      </c>
      <c r="AG238" s="105">
        <f>ROUND(((X238*F238/3600)*0.8),4)</f>
        <v>9.1000000000000004E-3</v>
      </c>
      <c r="AH238" s="105">
        <f>ROUND(((AB238+AC238+AD238)*0.8),4)</f>
        <v>2.3E-3</v>
      </c>
    </row>
    <row r="239" spans="1:36" ht="12.95" customHeight="1" x14ac:dyDescent="0.25">
      <c r="A239" s="575" t="s">
        <v>150</v>
      </c>
      <c r="B239" s="94" t="s">
        <v>212</v>
      </c>
      <c r="C239" s="1110"/>
      <c r="D239" s="94"/>
      <c r="E239" s="94"/>
      <c r="F239" s="94"/>
      <c r="G239" s="94"/>
      <c r="H239" s="94"/>
      <c r="I239" s="94"/>
      <c r="J239" s="94"/>
      <c r="K239" s="94"/>
      <c r="L239" s="99"/>
      <c r="M239" s="99"/>
      <c r="N239" s="94"/>
      <c r="O239" s="94"/>
      <c r="P239" s="94"/>
      <c r="Q239" s="101"/>
      <c r="R239" s="101"/>
      <c r="S239" s="102"/>
      <c r="T239" s="101"/>
      <c r="U239" s="101"/>
      <c r="V239" s="110"/>
      <c r="W239" s="111"/>
      <c r="X239" s="111"/>
      <c r="Y239" s="111"/>
      <c r="Z239" s="111"/>
      <c r="AA239" s="111"/>
      <c r="AB239" s="111"/>
      <c r="AC239" s="111"/>
      <c r="AD239" s="111"/>
      <c r="AE239" s="103" t="s">
        <v>51</v>
      </c>
      <c r="AF239" s="104" t="s">
        <v>52</v>
      </c>
      <c r="AG239" s="105">
        <f>ROUND(((X238*F238/3600)*0.13),4)</f>
        <v>1.5E-3</v>
      </c>
      <c r="AH239" s="105">
        <f>ROUND(((AB238+AC238+AD238)*0.13),4)</f>
        <v>4.0000000000000002E-4</v>
      </c>
    </row>
    <row r="240" spans="1:36" ht="12.95" customHeight="1" x14ac:dyDescent="0.25">
      <c r="A240" s="576"/>
      <c r="B240" s="95" t="s">
        <v>491</v>
      </c>
      <c r="C240" s="95"/>
      <c r="D240" s="94"/>
      <c r="E240" s="94"/>
      <c r="F240" s="94"/>
      <c r="G240" s="94"/>
      <c r="H240" s="94"/>
      <c r="I240" s="94"/>
      <c r="J240" s="94"/>
      <c r="K240" s="94"/>
      <c r="L240" s="99"/>
      <c r="M240" s="99"/>
      <c r="N240" s="94"/>
      <c r="O240" s="94"/>
      <c r="P240" s="94"/>
      <c r="Q240" s="105">
        <v>0.1</v>
      </c>
      <c r="R240" s="106">
        <v>0.113</v>
      </c>
      <c r="S240" s="107">
        <v>0.13600000000000001</v>
      </c>
      <c r="T240" s="106">
        <v>0.54</v>
      </c>
      <c r="U240" s="106">
        <v>0.67</v>
      </c>
      <c r="V240" s="108">
        <f>ROUND((R240*N238+T240*L238+Q240*D238),4)</f>
        <v>0.55740000000000001</v>
      </c>
      <c r="W240" s="109">
        <f>ROUND((S240*0.9*O238+U240*0.9*L238+Q240*D238),4)</f>
        <v>0.84040000000000004</v>
      </c>
      <c r="X240" s="109">
        <f>ROUND((S240*P238+U240*L238+Q240*D238),4)</f>
        <v>2.8267000000000002</v>
      </c>
      <c r="Y240" s="109">
        <f>ROUND((T240*M238+Q240*E238),4)</f>
        <v>0.10539999999999999</v>
      </c>
      <c r="Z240" s="109">
        <f>ROUND((U240*0.9*M238+Q240*E238),4)</f>
        <v>0.106</v>
      </c>
      <c r="AA240" s="109">
        <f>ROUND((U240*M238+Q240*E238),4)</f>
        <v>0.1067</v>
      </c>
      <c r="AB240" s="109">
        <f>ROUND((H238*(V240+Y240)*G238*I238/1000000),5)</f>
        <v>0</v>
      </c>
      <c r="AC240" s="109">
        <f>ROUND((H238*(W240+Z240)*G238*J238/1000000),5)</f>
        <v>3.0000000000000001E-5</v>
      </c>
      <c r="AD240" s="109">
        <f>ROUND((H238*(X240+AA240)*G238*K238/1000000),5)</f>
        <v>1.8000000000000001E-4</v>
      </c>
      <c r="AE240" s="103" t="s">
        <v>56</v>
      </c>
      <c r="AF240" s="104" t="s">
        <v>57</v>
      </c>
      <c r="AG240" s="105">
        <f>ROUND(((X240*F238/3600)),4)</f>
        <v>8.0000000000000004E-4</v>
      </c>
      <c r="AH240" s="105">
        <f>AB240+AC240+AD240</f>
        <v>2.1000000000000001E-4</v>
      </c>
    </row>
    <row r="241" spans="1:36" ht="12.95" customHeight="1" x14ac:dyDescent="0.25">
      <c r="A241" s="576"/>
      <c r="B241" s="166"/>
      <c r="C241" s="94"/>
      <c r="D241" s="94"/>
      <c r="E241" s="94"/>
      <c r="F241" s="94"/>
      <c r="G241" s="94"/>
      <c r="H241" s="94"/>
      <c r="I241" s="94"/>
      <c r="J241" s="94"/>
      <c r="K241" s="94"/>
      <c r="L241" s="99"/>
      <c r="M241" s="99"/>
      <c r="N241" s="94"/>
      <c r="O241" s="94"/>
      <c r="P241" s="94"/>
      <c r="Q241" s="105">
        <v>0.45</v>
      </c>
      <c r="R241" s="106">
        <v>0.4</v>
      </c>
      <c r="S241" s="105">
        <v>1.1000000000000001</v>
      </c>
      <c r="T241" s="106">
        <v>1</v>
      </c>
      <c r="U241" s="106">
        <v>1.2</v>
      </c>
      <c r="V241" s="108">
        <f>ROUND((R241*N238+T241*L238+Q241*D238),4)</f>
        <v>2.06</v>
      </c>
      <c r="W241" s="109">
        <f>ROUND((S241*0.9*O238+U241*0.9*L238+Q241*D238),4)</f>
        <v>6.4008000000000003</v>
      </c>
      <c r="X241" s="109">
        <f>ROUND((S241*P238+U241*L238+Q241*D238),4)</f>
        <v>22.462</v>
      </c>
      <c r="Y241" s="109">
        <f>ROUND((T241*M238+Q241*E238),4)</f>
        <v>0.46</v>
      </c>
      <c r="Z241" s="109">
        <f>ROUND((U241*0.9*M238+Q241*E238),4)</f>
        <v>0.46079999999999999</v>
      </c>
      <c r="AA241" s="109">
        <f>ROUND((U241*M238+Q241*E238),4)</f>
        <v>0.46200000000000002</v>
      </c>
      <c r="AB241" s="109">
        <f>ROUND((H238*(V241+Y241)*G238*I238/1000000),4)</f>
        <v>0</v>
      </c>
      <c r="AC241" s="109">
        <f>ROUND((H238*(W241+Z241)*G238*J238/1000000),4)</f>
        <v>2.0000000000000001E-4</v>
      </c>
      <c r="AD241" s="109">
        <f>ROUND((H238*(X241+AA241)*G238*K238/1000000),4)</f>
        <v>1.4E-3</v>
      </c>
      <c r="AE241" s="103" t="s">
        <v>177</v>
      </c>
      <c r="AF241" s="104" t="s">
        <v>178</v>
      </c>
      <c r="AG241" s="105">
        <f>ROUND(((X241*F238/3600)),4)</f>
        <v>6.1999999999999998E-3</v>
      </c>
      <c r="AH241" s="105">
        <f>AB241+AC241+AD241</f>
        <v>1.6000000000000001E-3</v>
      </c>
    </row>
    <row r="242" spans="1:36" ht="12.95" customHeight="1" x14ac:dyDescent="0.25">
      <c r="A242" s="577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9"/>
      <c r="M242" s="99"/>
      <c r="N242" s="94"/>
      <c r="O242" s="94"/>
      <c r="P242" s="94"/>
      <c r="Q242" s="105">
        <v>2.9</v>
      </c>
      <c r="R242" s="106">
        <v>3</v>
      </c>
      <c r="S242" s="105">
        <v>8.1999999999999993</v>
      </c>
      <c r="T242" s="106">
        <v>6.1</v>
      </c>
      <c r="U242" s="106">
        <v>7.4</v>
      </c>
      <c r="V242" s="167">
        <f>ROUND((R242*N238+T242*L238+Q242*D238),4)</f>
        <v>14.961</v>
      </c>
      <c r="W242" s="168">
        <f>ROUND((S242*0.9*O238+U242*0.9*L238+Q242*D238),4)</f>
        <v>47.246600000000001</v>
      </c>
      <c r="X242" s="168">
        <f>ROUND((S242*P238+U242*L238+Q242*D238),4)</f>
        <v>166.97399999999999</v>
      </c>
      <c r="Y242" s="168">
        <f>ROUND((T242*M238+Q242*E238),4)</f>
        <v>2.9609999999999999</v>
      </c>
      <c r="Z242" s="168">
        <f>ROUND((U242*0.9*M238+Q242*E238),4)</f>
        <v>2.9666000000000001</v>
      </c>
      <c r="AA242" s="168">
        <f>ROUND((U242*M238+Q242*E238),4)</f>
        <v>2.9740000000000002</v>
      </c>
      <c r="AB242" s="168">
        <f>ROUND((H238*(V242+Y242)*G238*I238/1000000),4)</f>
        <v>0</v>
      </c>
      <c r="AC242" s="168">
        <f>ROUND((H238*(W242+Z242)*G238*J238/1000000),4)</f>
        <v>1.5E-3</v>
      </c>
      <c r="AD242" s="168">
        <f>ROUND((H238*(X242+AA242)*G238*K238/1000000),4)</f>
        <v>1.0200000000000001E-2</v>
      </c>
      <c r="AE242" s="103" t="s">
        <v>65</v>
      </c>
      <c r="AF242" s="104" t="s">
        <v>66</v>
      </c>
      <c r="AG242" s="105">
        <f>ROUND(((X242*F238/3600)),4)</f>
        <v>4.6399999999999997E-2</v>
      </c>
      <c r="AH242" s="105">
        <f>AB242+AC242+AD242</f>
        <v>1.17E-2</v>
      </c>
    </row>
    <row r="243" spans="1:36" ht="12.95" customHeight="1" x14ac:dyDescent="0.25">
      <c r="A243" s="58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2"/>
      <c r="M243" s="102"/>
      <c r="N243" s="101"/>
      <c r="O243" s="101"/>
      <c r="P243" s="101"/>
      <c r="Q243" s="105">
        <v>0.04</v>
      </c>
      <c r="R243" s="106">
        <v>0.04</v>
      </c>
      <c r="S243" s="105">
        <v>0.16</v>
      </c>
      <c r="T243" s="106">
        <v>0.3</v>
      </c>
      <c r="U243" s="106">
        <v>0.4</v>
      </c>
      <c r="V243" s="167">
        <f>ROUND((R243*N238+T243*L238+Q243*D238),4)</f>
        <v>0.20300000000000001</v>
      </c>
      <c r="W243" s="168">
        <f>ROUND((S243*0.9*O238+U243*0.9*L238+Q243*D238),4)</f>
        <v>0.90759999999999996</v>
      </c>
      <c r="X243" s="168">
        <f>ROUND((S243*P238+U243*L238+Q243*D238),4)</f>
        <v>3.2440000000000002</v>
      </c>
      <c r="Y243" s="168">
        <f>ROUND((T243*M238+Q243*E238),4)</f>
        <v>4.2999999999999997E-2</v>
      </c>
      <c r="Z243" s="168">
        <f>ROUND((U243*0.9*M238+Q243*E238),4)</f>
        <v>4.36E-2</v>
      </c>
      <c r="AA243" s="168">
        <f>ROUND((U243*M238+Q243*E238),4)</f>
        <v>4.3999999999999997E-2</v>
      </c>
      <c r="AB243" s="168">
        <f>ROUND((H238*(V243+Y243)*G238*I238/1000000),5)</f>
        <v>0</v>
      </c>
      <c r="AC243" s="168">
        <f>ROUND((H238*(W243+Z243)*G238*J238/1000000),5)</f>
        <v>3.0000000000000001E-5</v>
      </c>
      <c r="AD243" s="168">
        <f>ROUND((H238*(X243+AA243)*G238*K238/1000000),4)</f>
        <v>2.0000000000000001E-4</v>
      </c>
      <c r="AE243" s="103" t="s">
        <v>213</v>
      </c>
      <c r="AF243" s="104" t="s">
        <v>62</v>
      </c>
      <c r="AG243" s="105">
        <f>ROUND(((X243*F238/3600)),4)</f>
        <v>8.9999999999999998E-4</v>
      </c>
      <c r="AH243" s="105">
        <f>AB243+AC243+AD243</f>
        <v>2.3000000000000001E-4</v>
      </c>
      <c r="AI243" s="61">
        <f>SUM(AG238:AG243)</f>
        <v>6.4899999999999999E-2</v>
      </c>
      <c r="AJ243" s="61">
        <f>SUM(AH238:AH243)</f>
        <v>1.6440000000000003E-2</v>
      </c>
    </row>
    <row r="244" spans="1:36" ht="12.95" customHeight="1" x14ac:dyDescent="0.25">
      <c r="A244" s="1518" t="s">
        <v>709</v>
      </c>
      <c r="B244" s="1519"/>
      <c r="C244" s="1519"/>
      <c r="D244" s="1519"/>
      <c r="E244" s="1519"/>
      <c r="F244" s="1519"/>
      <c r="G244" s="1519"/>
      <c r="H244" s="1519"/>
      <c r="I244" s="1519"/>
      <c r="J244" s="1519"/>
      <c r="K244" s="1519"/>
      <c r="L244" s="1519"/>
      <c r="M244" s="1519"/>
      <c r="N244" s="1519"/>
      <c r="O244" s="1519"/>
      <c r="P244" s="1519"/>
      <c r="Q244" s="1519"/>
      <c r="R244" s="1519"/>
      <c r="S244" s="1519"/>
      <c r="T244" s="1520"/>
      <c r="U244" s="1520"/>
      <c r="V244" s="1519"/>
      <c r="W244" s="1519"/>
      <c r="X244" s="1519"/>
      <c r="Y244" s="1519"/>
      <c r="Z244" s="1519"/>
      <c r="AA244" s="1519"/>
      <c r="AB244" s="1519"/>
      <c r="AC244" s="1519"/>
      <c r="AD244" s="1519"/>
      <c r="AE244" s="1519"/>
      <c r="AF244" s="1519"/>
      <c r="AG244" s="1519"/>
      <c r="AH244" s="1521"/>
    </row>
    <row r="245" spans="1:36" ht="12.95" customHeight="1" x14ac:dyDescent="0.25">
      <c r="A245" s="574" t="s">
        <v>705</v>
      </c>
      <c r="B245" s="93" t="s">
        <v>211</v>
      </c>
      <c r="C245" s="1109" t="s">
        <v>444</v>
      </c>
      <c r="D245" s="97">
        <v>1</v>
      </c>
      <c r="E245" s="97">
        <v>1</v>
      </c>
      <c r="F245" s="97">
        <v>1</v>
      </c>
      <c r="G245" s="97">
        <v>1</v>
      </c>
      <c r="H245" s="97">
        <f>ROUND((F245/G245),2)</f>
        <v>1</v>
      </c>
      <c r="I245" s="490">
        <v>0</v>
      </c>
      <c r="J245" s="490">
        <v>30</v>
      </c>
      <c r="K245" s="491">
        <v>60</v>
      </c>
      <c r="L245" s="98">
        <v>0.01</v>
      </c>
      <c r="M245" s="98">
        <v>0.01</v>
      </c>
      <c r="N245" s="97">
        <v>4</v>
      </c>
      <c r="O245" s="97">
        <v>6</v>
      </c>
      <c r="P245" s="97">
        <v>20</v>
      </c>
      <c r="Q245" s="97">
        <v>1</v>
      </c>
      <c r="R245" s="96">
        <v>1</v>
      </c>
      <c r="S245" s="97">
        <v>2</v>
      </c>
      <c r="T245" s="96">
        <v>4</v>
      </c>
      <c r="U245" s="96">
        <v>4</v>
      </c>
      <c r="V245" s="108">
        <f>ROUND((R245*N245+T245*L245+Q245*D245),4)</f>
        <v>5.04</v>
      </c>
      <c r="W245" s="109">
        <f>ROUND((S245*O245+U245*L245+Q245*D245),4)</f>
        <v>13.04</v>
      </c>
      <c r="X245" s="109">
        <f>ROUND((S245*P245+U245*L245+Q245*D245),4)</f>
        <v>41.04</v>
      </c>
      <c r="Y245" s="109">
        <f>ROUND((T245*M245+Q245*E245),4)</f>
        <v>1.04</v>
      </c>
      <c r="Z245" s="109">
        <f>ROUND((U245*M245+Q245*E245),4)</f>
        <v>1.04</v>
      </c>
      <c r="AA245" s="109">
        <f>ROUND((U245*M245+Q245*E245),4)</f>
        <v>1.04</v>
      </c>
      <c r="AB245" s="109">
        <f>ROUND((H245*(V245+Y245)*G245*I245/1000000),4)</f>
        <v>0</v>
      </c>
      <c r="AC245" s="109">
        <f>ROUND((H245*(W245+Z245)*G245*J245/1000000),4)</f>
        <v>4.0000000000000002E-4</v>
      </c>
      <c r="AD245" s="109">
        <f>ROUND((H245*(X245+AA245)*G245*K245/1000000),4)</f>
        <v>2.5000000000000001E-3</v>
      </c>
      <c r="AE245" s="103" t="s">
        <v>48</v>
      </c>
      <c r="AF245" s="104" t="s">
        <v>49</v>
      </c>
      <c r="AG245" s="105">
        <f>ROUND(((X245*F245/3600)*0.8),4)</f>
        <v>9.1000000000000004E-3</v>
      </c>
      <c r="AH245" s="105">
        <f>ROUND(((AB245+AC245+AD245)*0.8),4)</f>
        <v>2.3E-3</v>
      </c>
    </row>
    <row r="246" spans="1:36" ht="12.95" customHeight="1" x14ac:dyDescent="0.25">
      <c r="A246" s="575" t="s">
        <v>150</v>
      </c>
      <c r="B246" s="94" t="s">
        <v>212</v>
      </c>
      <c r="C246" s="1110"/>
      <c r="D246" s="94"/>
      <c r="E246" s="94"/>
      <c r="F246" s="94"/>
      <c r="G246" s="94"/>
      <c r="H246" s="94"/>
      <c r="I246" s="94"/>
      <c r="J246" s="94"/>
      <c r="K246" s="94"/>
      <c r="L246" s="99"/>
      <c r="M246" s="99"/>
      <c r="N246" s="94"/>
      <c r="O246" s="94"/>
      <c r="P246" s="94"/>
      <c r="Q246" s="101"/>
      <c r="R246" s="101"/>
      <c r="S246" s="102"/>
      <c r="T246" s="101"/>
      <c r="U246" s="101"/>
      <c r="V246" s="110"/>
      <c r="W246" s="111"/>
      <c r="X246" s="111"/>
      <c r="Y246" s="111"/>
      <c r="Z246" s="111"/>
      <c r="AA246" s="111"/>
      <c r="AB246" s="111"/>
      <c r="AC246" s="111"/>
      <c r="AD246" s="111"/>
      <c r="AE246" s="103" t="s">
        <v>51</v>
      </c>
      <c r="AF246" s="104" t="s">
        <v>52</v>
      </c>
      <c r="AG246" s="105">
        <f>ROUND(((X245*F245/3600)*0.13),4)</f>
        <v>1.5E-3</v>
      </c>
      <c r="AH246" s="105">
        <f>ROUND(((AB245+AC245+AD245)*0.13),4)</f>
        <v>4.0000000000000002E-4</v>
      </c>
    </row>
    <row r="247" spans="1:36" ht="12.95" customHeight="1" x14ac:dyDescent="0.25">
      <c r="A247" s="576"/>
      <c r="B247" s="95" t="s">
        <v>491</v>
      </c>
      <c r="C247" s="95"/>
      <c r="D247" s="94"/>
      <c r="E247" s="94"/>
      <c r="F247" s="94"/>
      <c r="G247" s="94"/>
      <c r="H247" s="94"/>
      <c r="I247" s="94"/>
      <c r="J247" s="94"/>
      <c r="K247" s="94"/>
      <c r="L247" s="99"/>
      <c r="M247" s="99"/>
      <c r="N247" s="94"/>
      <c r="O247" s="94"/>
      <c r="P247" s="94"/>
      <c r="Q247" s="105">
        <v>0.1</v>
      </c>
      <c r="R247" s="106">
        <v>0.113</v>
      </c>
      <c r="S247" s="107">
        <v>0.13600000000000001</v>
      </c>
      <c r="T247" s="106">
        <v>0.54</v>
      </c>
      <c r="U247" s="106">
        <v>0.67</v>
      </c>
      <c r="V247" s="108">
        <f>ROUND((R247*N245+T247*L245+Q247*D245),4)</f>
        <v>0.55740000000000001</v>
      </c>
      <c r="W247" s="109">
        <f>ROUND((S247*0.9*O245+U247*0.9*L245+Q247*D245),4)</f>
        <v>0.84040000000000004</v>
      </c>
      <c r="X247" s="109">
        <f>ROUND((S247*P245+U247*L245+Q247*D245),4)</f>
        <v>2.8267000000000002</v>
      </c>
      <c r="Y247" s="109">
        <f>ROUND((T247*M245+Q247*E245),4)</f>
        <v>0.10539999999999999</v>
      </c>
      <c r="Z247" s="109">
        <f>ROUND((U247*0.9*M245+Q247*E245),4)</f>
        <v>0.106</v>
      </c>
      <c r="AA247" s="109">
        <f>ROUND((U247*M245+Q247*E245),4)</f>
        <v>0.1067</v>
      </c>
      <c r="AB247" s="109">
        <f>ROUND((H245*(V247+Y247)*G245*I245/1000000),5)</f>
        <v>0</v>
      </c>
      <c r="AC247" s="109">
        <f>ROUND((H245*(W247+Z247)*G245*J245/1000000),5)</f>
        <v>3.0000000000000001E-5</v>
      </c>
      <c r="AD247" s="109">
        <f>ROUND((H245*(X247+AA247)*G245*K245/1000000),5)</f>
        <v>1.8000000000000001E-4</v>
      </c>
      <c r="AE247" s="103" t="s">
        <v>56</v>
      </c>
      <c r="AF247" s="104" t="s">
        <v>57</v>
      </c>
      <c r="AG247" s="105">
        <f>ROUND(((X247*F245/3600)),4)</f>
        <v>8.0000000000000004E-4</v>
      </c>
      <c r="AH247" s="105">
        <f>AB247+AC247+AD247</f>
        <v>2.1000000000000001E-4</v>
      </c>
    </row>
    <row r="248" spans="1:36" ht="12.95" customHeight="1" x14ac:dyDescent="0.25">
      <c r="A248" s="576"/>
      <c r="B248" s="166"/>
      <c r="C248" s="94"/>
      <c r="D248" s="94"/>
      <c r="E248" s="94"/>
      <c r="F248" s="94"/>
      <c r="G248" s="94"/>
      <c r="H248" s="94"/>
      <c r="I248" s="94"/>
      <c r="J248" s="94"/>
      <c r="K248" s="94"/>
      <c r="L248" s="99"/>
      <c r="M248" s="99"/>
      <c r="N248" s="94"/>
      <c r="O248" s="94"/>
      <c r="P248" s="94"/>
      <c r="Q248" s="105">
        <v>0.45</v>
      </c>
      <c r="R248" s="106">
        <v>0.4</v>
      </c>
      <c r="S248" s="105">
        <v>1.1000000000000001</v>
      </c>
      <c r="T248" s="106">
        <v>1</v>
      </c>
      <c r="U248" s="106">
        <v>1.2</v>
      </c>
      <c r="V248" s="108">
        <f>ROUND((R248*N245+T248*L245+Q248*D245),4)</f>
        <v>2.06</v>
      </c>
      <c r="W248" s="109">
        <f>ROUND((S248*0.9*O245+U248*0.9*L245+Q248*D245),4)</f>
        <v>6.4008000000000003</v>
      </c>
      <c r="X248" s="109">
        <f>ROUND((S248*P245+U248*L245+Q248*D245),4)</f>
        <v>22.462</v>
      </c>
      <c r="Y248" s="109">
        <f>ROUND((T248*M245+Q248*E245),4)</f>
        <v>0.46</v>
      </c>
      <c r="Z248" s="109">
        <f>ROUND((U248*0.9*M245+Q248*E245),4)</f>
        <v>0.46079999999999999</v>
      </c>
      <c r="AA248" s="109">
        <f>ROUND((U248*M245+Q248*E245),4)</f>
        <v>0.46200000000000002</v>
      </c>
      <c r="AB248" s="109">
        <f>ROUND((H245*(V248+Y248)*G245*I245/1000000),4)</f>
        <v>0</v>
      </c>
      <c r="AC248" s="109">
        <f>ROUND((H245*(W248+Z248)*G245*J245/1000000),4)</f>
        <v>2.0000000000000001E-4</v>
      </c>
      <c r="AD248" s="109">
        <f>ROUND((H245*(X248+AA248)*G245*K245/1000000),4)</f>
        <v>1.4E-3</v>
      </c>
      <c r="AE248" s="103" t="s">
        <v>177</v>
      </c>
      <c r="AF248" s="104" t="s">
        <v>178</v>
      </c>
      <c r="AG248" s="105">
        <f>ROUND(((X248*F245/3600)),4)</f>
        <v>6.1999999999999998E-3</v>
      </c>
      <c r="AH248" s="105">
        <f>AB248+AC248+AD248</f>
        <v>1.6000000000000001E-3</v>
      </c>
    </row>
    <row r="249" spans="1:36" ht="12.95" customHeight="1" x14ac:dyDescent="0.25">
      <c r="A249" s="577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9"/>
      <c r="M249" s="99"/>
      <c r="N249" s="94"/>
      <c r="O249" s="94"/>
      <c r="P249" s="94"/>
      <c r="Q249" s="105">
        <v>2.9</v>
      </c>
      <c r="R249" s="106">
        <v>3</v>
      </c>
      <c r="S249" s="105">
        <v>8.1999999999999993</v>
      </c>
      <c r="T249" s="106">
        <v>6.1</v>
      </c>
      <c r="U249" s="106">
        <v>7.4</v>
      </c>
      <c r="V249" s="167">
        <f>ROUND((R249*N245+T249*L245+Q249*D245),4)</f>
        <v>14.961</v>
      </c>
      <c r="W249" s="168">
        <f>ROUND((S249*0.9*O245+U249*0.9*L245+Q249*D245),4)</f>
        <v>47.246600000000001</v>
      </c>
      <c r="X249" s="168">
        <f>ROUND((S249*P245+U249*L245+Q249*D245),4)</f>
        <v>166.97399999999999</v>
      </c>
      <c r="Y249" s="168">
        <f>ROUND((T249*M245+Q249*E245),4)</f>
        <v>2.9609999999999999</v>
      </c>
      <c r="Z249" s="168">
        <f>ROUND((U249*0.9*M245+Q249*E245),4)</f>
        <v>2.9666000000000001</v>
      </c>
      <c r="AA249" s="168">
        <f>ROUND((U249*M245+Q249*E245),4)</f>
        <v>2.9740000000000002</v>
      </c>
      <c r="AB249" s="168">
        <f>ROUND((H245*(V249+Y249)*G245*I245/1000000),4)</f>
        <v>0</v>
      </c>
      <c r="AC249" s="168">
        <f>ROUND((H245*(W249+Z249)*G245*J245/1000000),4)</f>
        <v>1.5E-3</v>
      </c>
      <c r="AD249" s="168">
        <f>ROUND((H245*(X249+AA249)*G245*K245/1000000),4)</f>
        <v>1.0200000000000001E-2</v>
      </c>
      <c r="AE249" s="103" t="s">
        <v>65</v>
      </c>
      <c r="AF249" s="104" t="s">
        <v>66</v>
      </c>
      <c r="AG249" s="105">
        <f>ROUND(((X249*F245/3600)),4)</f>
        <v>4.6399999999999997E-2</v>
      </c>
      <c r="AH249" s="105">
        <f>AB249+AC249+AD249</f>
        <v>1.17E-2</v>
      </c>
    </row>
    <row r="250" spans="1:36" ht="12.95" customHeight="1" x14ac:dyDescent="0.25">
      <c r="A250" s="58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2"/>
      <c r="M250" s="102"/>
      <c r="N250" s="101"/>
      <c r="O250" s="101"/>
      <c r="P250" s="101"/>
      <c r="Q250" s="105">
        <v>0.04</v>
      </c>
      <c r="R250" s="106">
        <v>0.04</v>
      </c>
      <c r="S250" s="105">
        <v>0.16</v>
      </c>
      <c r="T250" s="106">
        <v>0.3</v>
      </c>
      <c r="U250" s="106">
        <v>0.4</v>
      </c>
      <c r="V250" s="167">
        <f>ROUND((R250*N245+T250*L245+Q250*D245),4)</f>
        <v>0.20300000000000001</v>
      </c>
      <c r="W250" s="168">
        <f>ROUND((S250*0.9*O245+U250*0.9*L245+Q250*D245),4)</f>
        <v>0.90759999999999996</v>
      </c>
      <c r="X250" s="168">
        <f>ROUND((S250*P245+U250*L245+Q250*D245),4)</f>
        <v>3.2440000000000002</v>
      </c>
      <c r="Y250" s="168">
        <f>ROUND((T250*M245+Q250*E245),4)</f>
        <v>4.2999999999999997E-2</v>
      </c>
      <c r="Z250" s="168">
        <f>ROUND((U250*0.9*M245+Q250*E245),4)</f>
        <v>4.36E-2</v>
      </c>
      <c r="AA250" s="168">
        <f>ROUND((U250*M245+Q250*E245),4)</f>
        <v>4.3999999999999997E-2</v>
      </c>
      <c r="AB250" s="168">
        <f>ROUND((H245*(V250+Y250)*G245*I245/1000000),5)</f>
        <v>0</v>
      </c>
      <c r="AC250" s="168">
        <f>ROUND((H245*(W250+Z250)*G245*J245/1000000),5)</f>
        <v>3.0000000000000001E-5</v>
      </c>
      <c r="AD250" s="168">
        <f>ROUND((H245*(X250+AA250)*G245*K245/1000000),4)</f>
        <v>2.0000000000000001E-4</v>
      </c>
      <c r="AE250" s="103" t="s">
        <v>213</v>
      </c>
      <c r="AF250" s="104" t="s">
        <v>62</v>
      </c>
      <c r="AG250" s="105">
        <f>ROUND(((X250*F245/3600)),4)</f>
        <v>8.9999999999999998E-4</v>
      </c>
      <c r="AH250" s="105">
        <f>AB250+AC250+AD250</f>
        <v>2.3000000000000001E-4</v>
      </c>
      <c r="AI250" s="61">
        <f>SUM(AG245:AG250)</f>
        <v>6.4899999999999999E-2</v>
      </c>
      <c r="AJ250" s="61">
        <f>SUM(AH245:AH250)</f>
        <v>1.6440000000000003E-2</v>
      </c>
    </row>
    <row r="251" spans="1:36" ht="12.95" customHeight="1" x14ac:dyDescent="0.25">
      <c r="A251" s="1518" t="s">
        <v>712</v>
      </c>
      <c r="B251" s="1519"/>
      <c r="C251" s="1519"/>
      <c r="D251" s="1519"/>
      <c r="E251" s="1519"/>
      <c r="F251" s="1519"/>
      <c r="G251" s="1519"/>
      <c r="H251" s="1519"/>
      <c r="I251" s="1519"/>
      <c r="J251" s="1519"/>
      <c r="K251" s="1519"/>
      <c r="L251" s="1519"/>
      <c r="M251" s="1519"/>
      <c r="N251" s="1519"/>
      <c r="O251" s="1519"/>
      <c r="P251" s="1519"/>
      <c r="Q251" s="1519"/>
      <c r="R251" s="1519"/>
      <c r="S251" s="1519"/>
      <c r="T251" s="1520"/>
      <c r="U251" s="1520"/>
      <c r="V251" s="1519"/>
      <c r="W251" s="1519"/>
      <c r="X251" s="1519"/>
      <c r="Y251" s="1519"/>
      <c r="Z251" s="1519"/>
      <c r="AA251" s="1519"/>
      <c r="AB251" s="1519"/>
      <c r="AC251" s="1519"/>
      <c r="AD251" s="1519"/>
      <c r="AE251" s="1519"/>
      <c r="AF251" s="1519"/>
      <c r="AG251" s="1519"/>
      <c r="AH251" s="1521"/>
    </row>
    <row r="252" spans="1:36" ht="12.95" customHeight="1" x14ac:dyDescent="0.25">
      <c r="A252" s="574" t="s">
        <v>759</v>
      </c>
      <c r="B252" s="93" t="s">
        <v>211</v>
      </c>
      <c r="C252" s="1109" t="s">
        <v>444</v>
      </c>
      <c r="D252" s="97">
        <v>1</v>
      </c>
      <c r="E252" s="97">
        <v>1</v>
      </c>
      <c r="F252" s="97">
        <v>1</v>
      </c>
      <c r="G252" s="97">
        <v>1</v>
      </c>
      <c r="H252" s="97">
        <f>ROUND((F252/G252),2)</f>
        <v>1</v>
      </c>
      <c r="I252" s="490">
        <v>0</v>
      </c>
      <c r="J252" s="490">
        <v>30</v>
      </c>
      <c r="K252" s="491">
        <v>60</v>
      </c>
      <c r="L252" s="98">
        <v>0.01</v>
      </c>
      <c r="M252" s="98">
        <v>0.01</v>
      </c>
      <c r="N252" s="97">
        <v>4</v>
      </c>
      <c r="O252" s="97">
        <v>6</v>
      </c>
      <c r="P252" s="97">
        <v>20</v>
      </c>
      <c r="Q252" s="97">
        <v>1</v>
      </c>
      <c r="R252" s="96">
        <v>1</v>
      </c>
      <c r="S252" s="97">
        <v>2</v>
      </c>
      <c r="T252" s="96">
        <v>4</v>
      </c>
      <c r="U252" s="96">
        <v>4</v>
      </c>
      <c r="V252" s="108">
        <f>ROUND((R252*N252+T252*L252+Q252*D252),4)</f>
        <v>5.04</v>
      </c>
      <c r="W252" s="109">
        <f>ROUND((S252*O252+U252*L252+Q252*D252),4)</f>
        <v>13.04</v>
      </c>
      <c r="X252" s="109">
        <f>ROUND((S252*P252+U252*L252+Q252*D252),4)</f>
        <v>41.04</v>
      </c>
      <c r="Y252" s="109">
        <f>ROUND((T252*M252+Q252*E252),4)</f>
        <v>1.04</v>
      </c>
      <c r="Z252" s="109">
        <f>ROUND((U252*M252+Q252*E252),4)</f>
        <v>1.04</v>
      </c>
      <c r="AA252" s="109">
        <f>ROUND((U252*M252+Q252*E252),4)</f>
        <v>1.04</v>
      </c>
      <c r="AB252" s="109">
        <f>ROUND((H252*(V252+Y252)*G252*I252/1000000),4)</f>
        <v>0</v>
      </c>
      <c r="AC252" s="109">
        <f>ROUND((H252*(W252+Z252)*G252*J252/1000000),4)</f>
        <v>4.0000000000000002E-4</v>
      </c>
      <c r="AD252" s="109">
        <f>ROUND((H252*(X252+AA252)*G252*K252/1000000),4)</f>
        <v>2.5000000000000001E-3</v>
      </c>
      <c r="AE252" s="103" t="s">
        <v>48</v>
      </c>
      <c r="AF252" s="104" t="s">
        <v>49</v>
      </c>
      <c r="AG252" s="105">
        <f>ROUND(((X252*F252/3600)*0.8),4)</f>
        <v>9.1000000000000004E-3</v>
      </c>
      <c r="AH252" s="105">
        <f>ROUND(((AB252+AC252+AD252)*0.8),4)</f>
        <v>2.3E-3</v>
      </c>
    </row>
    <row r="253" spans="1:36" ht="12.95" customHeight="1" x14ac:dyDescent="0.25">
      <c r="A253" s="575" t="s">
        <v>150</v>
      </c>
      <c r="B253" s="94" t="s">
        <v>212</v>
      </c>
      <c r="C253" s="1110"/>
      <c r="D253" s="94"/>
      <c r="E253" s="94"/>
      <c r="F253" s="94"/>
      <c r="G253" s="94"/>
      <c r="H253" s="94"/>
      <c r="I253" s="94"/>
      <c r="J253" s="94"/>
      <c r="K253" s="94"/>
      <c r="L253" s="99"/>
      <c r="M253" s="99"/>
      <c r="N253" s="94"/>
      <c r="O253" s="94"/>
      <c r="P253" s="94"/>
      <c r="Q253" s="101"/>
      <c r="R253" s="101"/>
      <c r="S253" s="102"/>
      <c r="T253" s="101"/>
      <c r="U253" s="101"/>
      <c r="V253" s="110"/>
      <c r="W253" s="111"/>
      <c r="X253" s="111"/>
      <c r="Y253" s="111"/>
      <c r="Z253" s="111"/>
      <c r="AA253" s="111"/>
      <c r="AB253" s="111"/>
      <c r="AC253" s="111"/>
      <c r="AD253" s="111"/>
      <c r="AE253" s="103" t="s">
        <v>51</v>
      </c>
      <c r="AF253" s="104" t="s">
        <v>52</v>
      </c>
      <c r="AG253" s="105">
        <f>ROUND(((X252*F252/3600)*0.13),4)</f>
        <v>1.5E-3</v>
      </c>
      <c r="AH253" s="105">
        <f>ROUND(((AB252+AC252+AD252)*0.13),4)</f>
        <v>4.0000000000000002E-4</v>
      </c>
    </row>
    <row r="254" spans="1:36" ht="12.95" customHeight="1" x14ac:dyDescent="0.25">
      <c r="A254" s="576"/>
      <c r="B254" s="95" t="s">
        <v>491</v>
      </c>
      <c r="C254" s="95"/>
      <c r="D254" s="94"/>
      <c r="E254" s="94"/>
      <c r="F254" s="94"/>
      <c r="G254" s="94"/>
      <c r="H254" s="94"/>
      <c r="I254" s="94"/>
      <c r="J254" s="94"/>
      <c r="K254" s="94"/>
      <c r="L254" s="99"/>
      <c r="M254" s="99"/>
      <c r="N254" s="94"/>
      <c r="O254" s="94"/>
      <c r="P254" s="94"/>
      <c r="Q254" s="105">
        <v>0.1</v>
      </c>
      <c r="R254" s="106">
        <v>0.113</v>
      </c>
      <c r="S254" s="107">
        <v>0.13600000000000001</v>
      </c>
      <c r="T254" s="106">
        <v>0.54</v>
      </c>
      <c r="U254" s="106">
        <v>0.67</v>
      </c>
      <c r="V254" s="108">
        <f>ROUND((R254*N252+T254*L252+Q254*D252),4)</f>
        <v>0.55740000000000001</v>
      </c>
      <c r="W254" s="109">
        <f>ROUND((S254*0.9*O252+U254*0.9*L252+Q254*D252),4)</f>
        <v>0.84040000000000004</v>
      </c>
      <c r="X254" s="109">
        <f>ROUND((S254*P252+U254*L252+Q254*D252),4)</f>
        <v>2.8267000000000002</v>
      </c>
      <c r="Y254" s="109">
        <f>ROUND((T254*M252+Q254*E252),4)</f>
        <v>0.10539999999999999</v>
      </c>
      <c r="Z254" s="109">
        <f>ROUND((U254*0.9*M252+Q254*E252),4)</f>
        <v>0.106</v>
      </c>
      <c r="AA254" s="109">
        <f>ROUND((U254*M252+Q254*E252),4)</f>
        <v>0.1067</v>
      </c>
      <c r="AB254" s="109">
        <f>ROUND((H252*(V254+Y254)*G252*I252/1000000),5)</f>
        <v>0</v>
      </c>
      <c r="AC254" s="109">
        <f>ROUND((H252*(W254+Z254)*G252*J252/1000000),5)</f>
        <v>3.0000000000000001E-5</v>
      </c>
      <c r="AD254" s="109">
        <f>ROUND((H252*(X254+AA254)*G252*K252/1000000),5)</f>
        <v>1.8000000000000001E-4</v>
      </c>
      <c r="AE254" s="103" t="s">
        <v>56</v>
      </c>
      <c r="AF254" s="104" t="s">
        <v>57</v>
      </c>
      <c r="AG254" s="105">
        <f>ROUND(((X254*F252/3600)),4)</f>
        <v>8.0000000000000004E-4</v>
      </c>
      <c r="AH254" s="105">
        <f>AB254+AC254+AD254</f>
        <v>2.1000000000000001E-4</v>
      </c>
    </row>
    <row r="255" spans="1:36" ht="12.95" customHeight="1" x14ac:dyDescent="0.25">
      <c r="A255" s="576"/>
      <c r="B255" s="166"/>
      <c r="C255" s="94"/>
      <c r="D255" s="94"/>
      <c r="E255" s="94"/>
      <c r="F255" s="94"/>
      <c r="G255" s="94"/>
      <c r="H255" s="94"/>
      <c r="I255" s="94"/>
      <c r="J255" s="94"/>
      <c r="K255" s="94"/>
      <c r="L255" s="99"/>
      <c r="M255" s="99"/>
      <c r="N255" s="94"/>
      <c r="O255" s="94"/>
      <c r="P255" s="94"/>
      <c r="Q255" s="105">
        <v>0.45</v>
      </c>
      <c r="R255" s="106">
        <v>0.4</v>
      </c>
      <c r="S255" s="105">
        <v>1.1000000000000001</v>
      </c>
      <c r="T255" s="106">
        <v>1</v>
      </c>
      <c r="U255" s="106">
        <v>1.2</v>
      </c>
      <c r="V255" s="108">
        <f>ROUND((R255*N252+T255*L252+Q255*D252),4)</f>
        <v>2.06</v>
      </c>
      <c r="W255" s="109">
        <f>ROUND((S255*0.9*O252+U255*0.9*L252+Q255*D252),4)</f>
        <v>6.4008000000000003</v>
      </c>
      <c r="X255" s="109">
        <f>ROUND((S255*P252+U255*L252+Q255*D252),4)</f>
        <v>22.462</v>
      </c>
      <c r="Y255" s="109">
        <f>ROUND((T255*M252+Q255*E252),4)</f>
        <v>0.46</v>
      </c>
      <c r="Z255" s="109">
        <f>ROUND((U255*0.9*M252+Q255*E252),4)</f>
        <v>0.46079999999999999</v>
      </c>
      <c r="AA255" s="109">
        <f>ROUND((U255*M252+Q255*E252),4)</f>
        <v>0.46200000000000002</v>
      </c>
      <c r="AB255" s="109">
        <f>ROUND((H252*(V255+Y255)*G252*I252/1000000),4)</f>
        <v>0</v>
      </c>
      <c r="AC255" s="109">
        <f>ROUND((H252*(W255+Z255)*G252*J252/1000000),4)</f>
        <v>2.0000000000000001E-4</v>
      </c>
      <c r="AD255" s="109">
        <f>ROUND((H252*(X255+AA255)*G252*K252/1000000),4)</f>
        <v>1.4E-3</v>
      </c>
      <c r="AE255" s="103" t="s">
        <v>177</v>
      </c>
      <c r="AF255" s="104" t="s">
        <v>178</v>
      </c>
      <c r="AG255" s="105">
        <f>ROUND(((X255*F252/3600)),4)</f>
        <v>6.1999999999999998E-3</v>
      </c>
      <c r="AH255" s="105">
        <f>AB255+AC255+AD255</f>
        <v>1.6000000000000001E-3</v>
      </c>
    </row>
    <row r="256" spans="1:36" ht="12.95" customHeight="1" x14ac:dyDescent="0.25">
      <c r="A256" s="577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9"/>
      <c r="M256" s="99"/>
      <c r="N256" s="94"/>
      <c r="O256" s="94"/>
      <c r="P256" s="94"/>
      <c r="Q256" s="105">
        <v>2.9</v>
      </c>
      <c r="R256" s="106">
        <v>3</v>
      </c>
      <c r="S256" s="105">
        <v>8.1999999999999993</v>
      </c>
      <c r="T256" s="106">
        <v>6.1</v>
      </c>
      <c r="U256" s="106">
        <v>7.4</v>
      </c>
      <c r="V256" s="167">
        <f>ROUND((R256*N252+T256*L252+Q256*D252),4)</f>
        <v>14.961</v>
      </c>
      <c r="W256" s="168">
        <f>ROUND((S256*0.9*O252+U256*0.9*L252+Q256*D252),4)</f>
        <v>47.246600000000001</v>
      </c>
      <c r="X256" s="168">
        <f>ROUND((S256*P252+U256*L252+Q256*D252),4)</f>
        <v>166.97399999999999</v>
      </c>
      <c r="Y256" s="168">
        <f>ROUND((T256*M252+Q256*E252),4)</f>
        <v>2.9609999999999999</v>
      </c>
      <c r="Z256" s="168">
        <f>ROUND((U256*0.9*M252+Q256*E252),4)</f>
        <v>2.9666000000000001</v>
      </c>
      <c r="AA256" s="168">
        <f>ROUND((U256*M252+Q256*E252),4)</f>
        <v>2.9740000000000002</v>
      </c>
      <c r="AB256" s="168">
        <f>ROUND((H252*(V256+Y256)*G252*I252/1000000),4)</f>
        <v>0</v>
      </c>
      <c r="AC256" s="168">
        <f>ROUND((H252*(W256+Z256)*G252*J252/1000000),4)</f>
        <v>1.5E-3</v>
      </c>
      <c r="AD256" s="168">
        <f>ROUND((H252*(X256+AA256)*G252*K252/1000000),4)</f>
        <v>1.0200000000000001E-2</v>
      </c>
      <c r="AE256" s="103" t="s">
        <v>65</v>
      </c>
      <c r="AF256" s="104" t="s">
        <v>66</v>
      </c>
      <c r="AG256" s="105">
        <f>ROUND(((X256*F252/3600)),4)</f>
        <v>4.6399999999999997E-2</v>
      </c>
      <c r="AH256" s="105">
        <f>AB256+AC256+AD256</f>
        <v>1.17E-2</v>
      </c>
    </row>
    <row r="257" spans="1:36" ht="12.95" customHeight="1" x14ac:dyDescent="0.25">
      <c r="A257" s="58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2"/>
      <c r="M257" s="102"/>
      <c r="N257" s="101"/>
      <c r="O257" s="101"/>
      <c r="P257" s="101"/>
      <c r="Q257" s="105">
        <v>0.04</v>
      </c>
      <c r="R257" s="106">
        <v>0.04</v>
      </c>
      <c r="S257" s="105">
        <v>0.16</v>
      </c>
      <c r="T257" s="106">
        <v>0.3</v>
      </c>
      <c r="U257" s="106">
        <v>0.4</v>
      </c>
      <c r="V257" s="167">
        <f>ROUND((R257*N252+T257*L252+Q257*D252),4)</f>
        <v>0.20300000000000001</v>
      </c>
      <c r="W257" s="168">
        <f>ROUND((S257*0.9*O252+U257*0.9*L252+Q257*D252),4)</f>
        <v>0.90759999999999996</v>
      </c>
      <c r="X257" s="168">
        <f>ROUND((S257*P252+U257*L252+Q257*D252),4)</f>
        <v>3.2440000000000002</v>
      </c>
      <c r="Y257" s="168">
        <f>ROUND((T257*M252+Q257*E252),4)</f>
        <v>4.2999999999999997E-2</v>
      </c>
      <c r="Z257" s="168">
        <f>ROUND((U257*0.9*M252+Q257*E252),4)</f>
        <v>4.36E-2</v>
      </c>
      <c r="AA257" s="168">
        <f>ROUND((U257*M252+Q257*E252),4)</f>
        <v>4.3999999999999997E-2</v>
      </c>
      <c r="AB257" s="168">
        <f>ROUND((H252*(V257+Y257)*G252*I252/1000000),5)</f>
        <v>0</v>
      </c>
      <c r="AC257" s="168">
        <f>ROUND((H252*(W257+Z257)*G252*J252/1000000),5)</f>
        <v>3.0000000000000001E-5</v>
      </c>
      <c r="AD257" s="168">
        <f>ROUND((H252*(X257+AA257)*G252*K252/1000000),4)</f>
        <v>2.0000000000000001E-4</v>
      </c>
      <c r="AE257" s="103" t="s">
        <v>213</v>
      </c>
      <c r="AF257" s="104" t="s">
        <v>62</v>
      </c>
      <c r="AG257" s="105">
        <f>ROUND(((X257*F252/3600)),4)</f>
        <v>8.9999999999999998E-4</v>
      </c>
      <c r="AH257" s="105">
        <f>AB257+AC257+AD257</f>
        <v>2.3000000000000001E-4</v>
      </c>
      <c r="AI257" s="61">
        <f>SUM(AG252:AG257)</f>
        <v>6.4899999999999999E-2</v>
      </c>
      <c r="AJ257" s="61">
        <f>SUM(AH252:AH257)</f>
        <v>1.6440000000000003E-2</v>
      </c>
    </row>
    <row r="258" spans="1:36" ht="12.95" customHeight="1" x14ac:dyDescent="0.25">
      <c r="A258" s="1518" t="s">
        <v>713</v>
      </c>
      <c r="B258" s="1519"/>
      <c r="C258" s="1519"/>
      <c r="D258" s="1519"/>
      <c r="E258" s="1519"/>
      <c r="F258" s="1519"/>
      <c r="G258" s="1519"/>
      <c r="H258" s="1519"/>
      <c r="I258" s="1519"/>
      <c r="J258" s="1519"/>
      <c r="K258" s="1519"/>
      <c r="L258" s="1519"/>
      <c r="M258" s="1519"/>
      <c r="N258" s="1519"/>
      <c r="O258" s="1519"/>
      <c r="P258" s="1519"/>
      <c r="Q258" s="1519"/>
      <c r="R258" s="1519"/>
      <c r="S258" s="1519"/>
      <c r="T258" s="1520"/>
      <c r="U258" s="1520"/>
      <c r="V258" s="1519"/>
      <c r="W258" s="1519"/>
      <c r="X258" s="1519"/>
      <c r="Y258" s="1519"/>
      <c r="Z258" s="1519"/>
      <c r="AA258" s="1519"/>
      <c r="AB258" s="1519"/>
      <c r="AC258" s="1519"/>
      <c r="AD258" s="1519"/>
      <c r="AE258" s="1519"/>
      <c r="AF258" s="1519"/>
      <c r="AG258" s="1519"/>
      <c r="AH258" s="1521"/>
    </row>
    <row r="259" spans="1:36" ht="12.95" customHeight="1" x14ac:dyDescent="0.25">
      <c r="A259" s="574" t="s">
        <v>760</v>
      </c>
      <c r="B259" s="93" t="s">
        <v>211</v>
      </c>
      <c r="C259" s="1109" t="s">
        <v>444</v>
      </c>
      <c r="D259" s="97">
        <v>1</v>
      </c>
      <c r="E259" s="97">
        <v>1</v>
      </c>
      <c r="F259" s="97">
        <v>1</v>
      </c>
      <c r="G259" s="97">
        <v>1</v>
      </c>
      <c r="H259" s="97">
        <f>ROUND((F259/G259),2)</f>
        <v>1</v>
      </c>
      <c r="I259" s="490">
        <v>0</v>
      </c>
      <c r="J259" s="490">
        <v>30</v>
      </c>
      <c r="K259" s="491">
        <v>60</v>
      </c>
      <c r="L259" s="98">
        <v>0.01</v>
      </c>
      <c r="M259" s="98">
        <v>0.01</v>
      </c>
      <c r="N259" s="97">
        <v>4</v>
      </c>
      <c r="O259" s="97">
        <v>6</v>
      </c>
      <c r="P259" s="97">
        <v>20</v>
      </c>
      <c r="Q259" s="97">
        <v>1</v>
      </c>
      <c r="R259" s="96">
        <v>1</v>
      </c>
      <c r="S259" s="97">
        <v>2</v>
      </c>
      <c r="T259" s="96">
        <v>4</v>
      </c>
      <c r="U259" s="96">
        <v>4</v>
      </c>
      <c r="V259" s="108">
        <f>ROUND((R259*N259+T259*L259+Q259*D259),4)</f>
        <v>5.04</v>
      </c>
      <c r="W259" s="109">
        <f>ROUND((S259*O259+U259*L259+Q259*D259),4)</f>
        <v>13.04</v>
      </c>
      <c r="X259" s="109">
        <f>ROUND((S259*P259+U259*L259+Q259*D259),4)</f>
        <v>41.04</v>
      </c>
      <c r="Y259" s="109">
        <f>ROUND((T259*M259+Q259*E259),4)</f>
        <v>1.04</v>
      </c>
      <c r="Z259" s="109">
        <f>ROUND((U259*M259+Q259*E259),4)</f>
        <v>1.04</v>
      </c>
      <c r="AA259" s="109">
        <f>ROUND((U259*M259+Q259*E259),4)</f>
        <v>1.04</v>
      </c>
      <c r="AB259" s="109">
        <f>ROUND((H259*(V259+Y259)*G259*I259/1000000),4)</f>
        <v>0</v>
      </c>
      <c r="AC259" s="109">
        <f>ROUND((H259*(W259+Z259)*G259*J259/1000000),4)</f>
        <v>4.0000000000000002E-4</v>
      </c>
      <c r="AD259" s="109">
        <f>ROUND((H259*(X259+AA259)*G259*K259/1000000),4)</f>
        <v>2.5000000000000001E-3</v>
      </c>
      <c r="AE259" s="103" t="s">
        <v>48</v>
      </c>
      <c r="AF259" s="104" t="s">
        <v>49</v>
      </c>
      <c r="AG259" s="105">
        <f>ROUND(((X259*F259/3600)*0.8),4)</f>
        <v>9.1000000000000004E-3</v>
      </c>
      <c r="AH259" s="105">
        <f>ROUND(((AB259+AC259+AD259)*0.8),4)</f>
        <v>2.3E-3</v>
      </c>
    </row>
    <row r="260" spans="1:36" ht="12.95" customHeight="1" x14ac:dyDescent="0.25">
      <c r="A260" s="575" t="s">
        <v>150</v>
      </c>
      <c r="B260" s="94" t="s">
        <v>212</v>
      </c>
      <c r="C260" s="1110"/>
      <c r="D260" s="94"/>
      <c r="E260" s="94"/>
      <c r="F260" s="94"/>
      <c r="G260" s="94"/>
      <c r="H260" s="94"/>
      <c r="I260" s="94"/>
      <c r="J260" s="94"/>
      <c r="K260" s="94"/>
      <c r="L260" s="99"/>
      <c r="M260" s="99"/>
      <c r="N260" s="94"/>
      <c r="O260" s="94"/>
      <c r="P260" s="94"/>
      <c r="Q260" s="101"/>
      <c r="R260" s="101"/>
      <c r="S260" s="102"/>
      <c r="T260" s="101"/>
      <c r="U260" s="101"/>
      <c r="V260" s="110"/>
      <c r="W260" s="111"/>
      <c r="X260" s="111"/>
      <c r="Y260" s="111"/>
      <c r="Z260" s="111"/>
      <c r="AA260" s="111"/>
      <c r="AB260" s="111"/>
      <c r="AC260" s="111"/>
      <c r="AD260" s="111"/>
      <c r="AE260" s="103" t="s">
        <v>51</v>
      </c>
      <c r="AF260" s="104" t="s">
        <v>52</v>
      </c>
      <c r="AG260" s="105">
        <f>ROUND(((X259*F259/3600)*0.13),4)</f>
        <v>1.5E-3</v>
      </c>
      <c r="AH260" s="105">
        <f>ROUND(((AB259+AC259+AD259)*0.13),4)</f>
        <v>4.0000000000000002E-4</v>
      </c>
    </row>
    <row r="261" spans="1:36" ht="12.95" customHeight="1" x14ac:dyDescent="0.25">
      <c r="A261" s="576"/>
      <c r="B261" s="95" t="s">
        <v>491</v>
      </c>
      <c r="C261" s="95"/>
      <c r="D261" s="94"/>
      <c r="E261" s="94"/>
      <c r="F261" s="94"/>
      <c r="G261" s="94"/>
      <c r="H261" s="94"/>
      <c r="I261" s="94"/>
      <c r="J261" s="94"/>
      <c r="K261" s="94"/>
      <c r="L261" s="99"/>
      <c r="M261" s="99"/>
      <c r="N261" s="94"/>
      <c r="O261" s="94"/>
      <c r="P261" s="94"/>
      <c r="Q261" s="105">
        <v>0.1</v>
      </c>
      <c r="R261" s="106">
        <v>0.113</v>
      </c>
      <c r="S261" s="107">
        <v>0.13600000000000001</v>
      </c>
      <c r="T261" s="106">
        <v>0.54</v>
      </c>
      <c r="U261" s="106">
        <v>0.67</v>
      </c>
      <c r="V261" s="108">
        <f>ROUND((R261*N259+T261*L259+Q261*D259),4)</f>
        <v>0.55740000000000001</v>
      </c>
      <c r="W261" s="109">
        <f>ROUND((S261*0.9*O259+U261*0.9*L259+Q261*D259),4)</f>
        <v>0.84040000000000004</v>
      </c>
      <c r="X261" s="109">
        <f>ROUND((S261*P259+U261*L259+Q261*D259),4)</f>
        <v>2.8267000000000002</v>
      </c>
      <c r="Y261" s="109">
        <f>ROUND((T261*M259+Q261*E259),4)</f>
        <v>0.10539999999999999</v>
      </c>
      <c r="Z261" s="109">
        <f>ROUND((U261*0.9*M259+Q261*E259),4)</f>
        <v>0.106</v>
      </c>
      <c r="AA261" s="109">
        <f>ROUND((U261*M259+Q261*E259),4)</f>
        <v>0.1067</v>
      </c>
      <c r="AB261" s="109">
        <f>ROUND((H259*(V261+Y261)*G259*I259/1000000),5)</f>
        <v>0</v>
      </c>
      <c r="AC261" s="109">
        <f>ROUND((H259*(W261+Z261)*G259*J259/1000000),5)</f>
        <v>3.0000000000000001E-5</v>
      </c>
      <c r="AD261" s="109">
        <f>ROUND((H259*(X261+AA261)*G259*K259/1000000),5)</f>
        <v>1.8000000000000001E-4</v>
      </c>
      <c r="AE261" s="103" t="s">
        <v>56</v>
      </c>
      <c r="AF261" s="104" t="s">
        <v>57</v>
      </c>
      <c r="AG261" s="105">
        <f>ROUND(((X261*F259/3600)),4)</f>
        <v>8.0000000000000004E-4</v>
      </c>
      <c r="AH261" s="105">
        <f>AB261+AC261+AD261</f>
        <v>2.1000000000000001E-4</v>
      </c>
    </row>
    <row r="262" spans="1:36" ht="12.95" customHeight="1" x14ac:dyDescent="0.25">
      <c r="A262" s="576"/>
      <c r="B262" s="166"/>
      <c r="C262" s="94"/>
      <c r="D262" s="94"/>
      <c r="E262" s="94"/>
      <c r="F262" s="94"/>
      <c r="G262" s="94"/>
      <c r="H262" s="94"/>
      <c r="I262" s="94"/>
      <c r="J262" s="94"/>
      <c r="K262" s="94"/>
      <c r="L262" s="99"/>
      <c r="M262" s="99"/>
      <c r="N262" s="94"/>
      <c r="O262" s="94"/>
      <c r="P262" s="94"/>
      <c r="Q262" s="105">
        <v>0.45</v>
      </c>
      <c r="R262" s="106">
        <v>0.4</v>
      </c>
      <c r="S262" s="105">
        <v>1.1000000000000001</v>
      </c>
      <c r="T262" s="106">
        <v>1</v>
      </c>
      <c r="U262" s="106">
        <v>1.2</v>
      </c>
      <c r="V262" s="108">
        <f>ROUND((R262*N259+T262*L259+Q262*D259),4)</f>
        <v>2.06</v>
      </c>
      <c r="W262" s="109">
        <f>ROUND((S262*0.9*O259+U262*0.9*L259+Q262*D259),4)</f>
        <v>6.4008000000000003</v>
      </c>
      <c r="X262" s="109">
        <f>ROUND((S262*P259+U262*L259+Q262*D259),4)</f>
        <v>22.462</v>
      </c>
      <c r="Y262" s="109">
        <f>ROUND((T262*M259+Q262*E259),4)</f>
        <v>0.46</v>
      </c>
      <c r="Z262" s="109">
        <f>ROUND((U262*0.9*M259+Q262*E259),4)</f>
        <v>0.46079999999999999</v>
      </c>
      <c r="AA262" s="109">
        <f>ROUND((U262*M259+Q262*E259),4)</f>
        <v>0.46200000000000002</v>
      </c>
      <c r="AB262" s="109">
        <f>ROUND((H259*(V262+Y262)*G259*I259/1000000),4)</f>
        <v>0</v>
      </c>
      <c r="AC262" s="109">
        <f>ROUND((H259*(W262+Z262)*G259*J259/1000000),4)</f>
        <v>2.0000000000000001E-4</v>
      </c>
      <c r="AD262" s="109">
        <f>ROUND((H259*(X262+AA262)*G259*K259/1000000),4)</f>
        <v>1.4E-3</v>
      </c>
      <c r="AE262" s="103" t="s">
        <v>177</v>
      </c>
      <c r="AF262" s="104" t="s">
        <v>178</v>
      </c>
      <c r="AG262" s="105">
        <f>ROUND(((X262*F259/3600)),4)</f>
        <v>6.1999999999999998E-3</v>
      </c>
      <c r="AH262" s="105">
        <f>AB262+AC262+AD262</f>
        <v>1.6000000000000001E-3</v>
      </c>
    </row>
    <row r="263" spans="1:36" ht="12.95" customHeight="1" x14ac:dyDescent="0.25">
      <c r="A263" s="577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9"/>
      <c r="M263" s="99"/>
      <c r="N263" s="94"/>
      <c r="O263" s="94"/>
      <c r="P263" s="94"/>
      <c r="Q263" s="105">
        <v>2.9</v>
      </c>
      <c r="R263" s="106">
        <v>3</v>
      </c>
      <c r="S263" s="105">
        <v>8.1999999999999993</v>
      </c>
      <c r="T263" s="106">
        <v>6.1</v>
      </c>
      <c r="U263" s="106">
        <v>7.4</v>
      </c>
      <c r="V263" s="167">
        <f>ROUND((R263*N259+T263*L259+Q263*D259),4)</f>
        <v>14.961</v>
      </c>
      <c r="W263" s="168">
        <f>ROUND((S263*0.9*O259+U263*0.9*L259+Q263*D259),4)</f>
        <v>47.246600000000001</v>
      </c>
      <c r="X263" s="168">
        <f>ROUND((S263*P259+U263*L259+Q263*D259),4)</f>
        <v>166.97399999999999</v>
      </c>
      <c r="Y263" s="168">
        <f>ROUND((T263*M259+Q263*E259),4)</f>
        <v>2.9609999999999999</v>
      </c>
      <c r="Z263" s="168">
        <f>ROUND((U263*0.9*M259+Q263*E259),4)</f>
        <v>2.9666000000000001</v>
      </c>
      <c r="AA263" s="168">
        <f>ROUND((U263*M259+Q263*E259),4)</f>
        <v>2.9740000000000002</v>
      </c>
      <c r="AB263" s="168">
        <f>ROUND((H259*(V263+Y263)*G259*I259/1000000),4)</f>
        <v>0</v>
      </c>
      <c r="AC263" s="168">
        <f>ROUND((H259*(W263+Z263)*G259*J259/1000000),4)</f>
        <v>1.5E-3</v>
      </c>
      <c r="AD263" s="168">
        <f>ROUND((H259*(X263+AA263)*G259*K259/1000000),4)</f>
        <v>1.0200000000000001E-2</v>
      </c>
      <c r="AE263" s="103" t="s">
        <v>65</v>
      </c>
      <c r="AF263" s="104" t="s">
        <v>66</v>
      </c>
      <c r="AG263" s="105">
        <f>ROUND(((X263*F259/3600)),4)</f>
        <v>4.6399999999999997E-2</v>
      </c>
      <c r="AH263" s="105">
        <f>AB263+AC263+AD263</f>
        <v>1.17E-2</v>
      </c>
    </row>
    <row r="264" spans="1:36" ht="12.95" customHeight="1" x14ac:dyDescent="0.25">
      <c r="A264" s="58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2"/>
      <c r="M264" s="102"/>
      <c r="N264" s="101"/>
      <c r="O264" s="101"/>
      <c r="P264" s="101"/>
      <c r="Q264" s="105">
        <v>0.04</v>
      </c>
      <c r="R264" s="106">
        <v>0.04</v>
      </c>
      <c r="S264" s="105">
        <v>0.16</v>
      </c>
      <c r="T264" s="106">
        <v>0.3</v>
      </c>
      <c r="U264" s="106">
        <v>0.4</v>
      </c>
      <c r="V264" s="167">
        <f>ROUND((R264*N259+T264*L259+Q264*D259),4)</f>
        <v>0.20300000000000001</v>
      </c>
      <c r="W264" s="168">
        <f>ROUND((S264*0.9*O259+U264*0.9*L259+Q264*D259),4)</f>
        <v>0.90759999999999996</v>
      </c>
      <c r="X264" s="168">
        <f>ROUND((S264*P259+U264*L259+Q264*D259),4)</f>
        <v>3.2440000000000002</v>
      </c>
      <c r="Y264" s="168">
        <f>ROUND((T264*M259+Q264*E259),4)</f>
        <v>4.2999999999999997E-2</v>
      </c>
      <c r="Z264" s="168">
        <f>ROUND((U264*0.9*M259+Q264*E259),4)</f>
        <v>4.36E-2</v>
      </c>
      <c r="AA264" s="168">
        <f>ROUND((U264*M259+Q264*E259),4)</f>
        <v>4.3999999999999997E-2</v>
      </c>
      <c r="AB264" s="168">
        <f>ROUND((H259*(V264+Y264)*G259*I259/1000000),5)</f>
        <v>0</v>
      </c>
      <c r="AC264" s="168">
        <f>ROUND((H259*(W264+Z264)*G259*J259/1000000),5)</f>
        <v>3.0000000000000001E-5</v>
      </c>
      <c r="AD264" s="168">
        <f>ROUND((H259*(X264+AA264)*G259*K259/1000000),4)</f>
        <v>2.0000000000000001E-4</v>
      </c>
      <c r="AE264" s="103" t="s">
        <v>213</v>
      </c>
      <c r="AF264" s="104" t="s">
        <v>62</v>
      </c>
      <c r="AG264" s="105">
        <f>ROUND(((X264*F259/3600)),4)</f>
        <v>8.9999999999999998E-4</v>
      </c>
      <c r="AH264" s="105">
        <f>AB264+AC264+AD264</f>
        <v>2.3000000000000001E-4</v>
      </c>
      <c r="AI264" s="61">
        <f>SUM(AG259:AG264)</f>
        <v>6.4899999999999999E-2</v>
      </c>
      <c r="AJ264" s="61">
        <f>SUM(AH259:AH264)</f>
        <v>1.6440000000000003E-2</v>
      </c>
    </row>
    <row r="265" spans="1:36" ht="12.95" customHeight="1" x14ac:dyDescent="0.25">
      <c r="A265" s="1518" t="s">
        <v>716</v>
      </c>
      <c r="B265" s="1519"/>
      <c r="C265" s="1519"/>
      <c r="D265" s="1519"/>
      <c r="E265" s="1519"/>
      <c r="F265" s="1519"/>
      <c r="G265" s="1519"/>
      <c r="H265" s="1519"/>
      <c r="I265" s="1519"/>
      <c r="J265" s="1519"/>
      <c r="K265" s="1519"/>
      <c r="L265" s="1519"/>
      <c r="M265" s="1519"/>
      <c r="N265" s="1519"/>
      <c r="O265" s="1519"/>
      <c r="P265" s="1519"/>
      <c r="Q265" s="1519"/>
      <c r="R265" s="1519"/>
      <c r="S265" s="1519"/>
      <c r="T265" s="1520"/>
      <c r="U265" s="1520"/>
      <c r="V265" s="1519"/>
      <c r="W265" s="1519"/>
      <c r="X265" s="1519"/>
      <c r="Y265" s="1519"/>
      <c r="Z265" s="1519"/>
      <c r="AA265" s="1519"/>
      <c r="AB265" s="1519"/>
      <c r="AC265" s="1519"/>
      <c r="AD265" s="1519"/>
      <c r="AE265" s="1519"/>
      <c r="AF265" s="1519"/>
      <c r="AG265" s="1519"/>
      <c r="AH265" s="1521"/>
    </row>
    <row r="266" spans="1:36" ht="12.95" customHeight="1" x14ac:dyDescent="0.25">
      <c r="A266" s="574" t="s">
        <v>1021</v>
      </c>
      <c r="B266" s="93" t="s">
        <v>211</v>
      </c>
      <c r="C266" s="1109" t="s">
        <v>444</v>
      </c>
      <c r="D266" s="97">
        <v>1</v>
      </c>
      <c r="E266" s="97">
        <v>1</v>
      </c>
      <c r="F266" s="97">
        <v>1</v>
      </c>
      <c r="G266" s="97">
        <v>1</v>
      </c>
      <c r="H266" s="97">
        <f>ROUND((F266/G266),2)</f>
        <v>1</v>
      </c>
      <c r="I266" s="490">
        <v>0</v>
      </c>
      <c r="J266" s="490">
        <v>30</v>
      </c>
      <c r="K266" s="491">
        <v>60</v>
      </c>
      <c r="L266" s="98">
        <v>0.01</v>
      </c>
      <c r="M266" s="98">
        <v>0.01</v>
      </c>
      <c r="N266" s="97">
        <v>4</v>
      </c>
      <c r="O266" s="97">
        <v>6</v>
      </c>
      <c r="P266" s="97">
        <v>20</v>
      </c>
      <c r="Q266" s="97">
        <v>1</v>
      </c>
      <c r="R266" s="96">
        <v>1</v>
      </c>
      <c r="S266" s="97">
        <v>2</v>
      </c>
      <c r="T266" s="96">
        <v>4</v>
      </c>
      <c r="U266" s="96">
        <v>4</v>
      </c>
      <c r="V266" s="108">
        <f>ROUND((R266*N266+T266*L266+Q266*D266),4)</f>
        <v>5.04</v>
      </c>
      <c r="W266" s="109">
        <f>ROUND((S266*O266+U266*L266+Q266*D266),4)</f>
        <v>13.04</v>
      </c>
      <c r="X266" s="109">
        <f>ROUND((S266*P266+U266*L266+Q266*D266),4)</f>
        <v>41.04</v>
      </c>
      <c r="Y266" s="109">
        <f>ROUND((T266*M266+Q266*E266),4)</f>
        <v>1.04</v>
      </c>
      <c r="Z266" s="109">
        <f>ROUND((U266*M266+Q266*E266),4)</f>
        <v>1.04</v>
      </c>
      <c r="AA266" s="109">
        <f>ROUND((U266*M266+Q266*E266),4)</f>
        <v>1.04</v>
      </c>
      <c r="AB266" s="109">
        <f>ROUND((H266*(V266+Y266)*G266*I266/1000000),4)</f>
        <v>0</v>
      </c>
      <c r="AC266" s="109">
        <f>ROUND((H266*(W266+Z266)*G266*J266/1000000),4)</f>
        <v>4.0000000000000002E-4</v>
      </c>
      <c r="AD266" s="109">
        <f>ROUND((H266*(X266+AA266)*G266*K266/1000000),4)</f>
        <v>2.5000000000000001E-3</v>
      </c>
      <c r="AE266" s="103" t="s">
        <v>48</v>
      </c>
      <c r="AF266" s="104" t="s">
        <v>49</v>
      </c>
      <c r="AG266" s="105">
        <f>ROUND(((X266*F266/3600)*0.8),4)</f>
        <v>9.1000000000000004E-3</v>
      </c>
      <c r="AH266" s="105">
        <f>ROUND(((AB266+AC266+AD266)*0.8),4)</f>
        <v>2.3E-3</v>
      </c>
    </row>
    <row r="267" spans="1:36" ht="12.95" customHeight="1" x14ac:dyDescent="0.25">
      <c r="A267" s="575" t="s">
        <v>150</v>
      </c>
      <c r="B267" s="94" t="s">
        <v>212</v>
      </c>
      <c r="C267" s="1110"/>
      <c r="D267" s="94"/>
      <c r="E267" s="94"/>
      <c r="F267" s="94"/>
      <c r="G267" s="94"/>
      <c r="H267" s="94"/>
      <c r="I267" s="94"/>
      <c r="J267" s="94"/>
      <c r="K267" s="94"/>
      <c r="L267" s="99"/>
      <c r="M267" s="99"/>
      <c r="N267" s="94"/>
      <c r="O267" s="94"/>
      <c r="P267" s="94"/>
      <c r="Q267" s="101"/>
      <c r="R267" s="101"/>
      <c r="S267" s="102"/>
      <c r="T267" s="101"/>
      <c r="U267" s="101"/>
      <c r="V267" s="110"/>
      <c r="W267" s="111"/>
      <c r="X267" s="111"/>
      <c r="Y267" s="111"/>
      <c r="Z267" s="111"/>
      <c r="AA267" s="111"/>
      <c r="AB267" s="111"/>
      <c r="AC267" s="111"/>
      <c r="AD267" s="111"/>
      <c r="AE267" s="103" t="s">
        <v>51</v>
      </c>
      <c r="AF267" s="104" t="s">
        <v>52</v>
      </c>
      <c r="AG267" s="105">
        <f>ROUND(((X266*F266/3600)*0.13),4)</f>
        <v>1.5E-3</v>
      </c>
      <c r="AH267" s="105">
        <f>ROUND(((AB266+AC266+AD266)*0.13),4)</f>
        <v>4.0000000000000002E-4</v>
      </c>
    </row>
    <row r="268" spans="1:36" ht="12.95" customHeight="1" x14ac:dyDescent="0.25">
      <c r="A268" s="576"/>
      <c r="B268" s="95" t="s">
        <v>491</v>
      </c>
      <c r="C268" s="95"/>
      <c r="D268" s="94"/>
      <c r="E268" s="94"/>
      <c r="F268" s="94"/>
      <c r="G268" s="94"/>
      <c r="H268" s="94"/>
      <c r="I268" s="94"/>
      <c r="J268" s="94"/>
      <c r="K268" s="94"/>
      <c r="L268" s="99"/>
      <c r="M268" s="99"/>
      <c r="N268" s="94"/>
      <c r="O268" s="94"/>
      <c r="P268" s="94"/>
      <c r="Q268" s="105">
        <v>0.1</v>
      </c>
      <c r="R268" s="106">
        <v>0.113</v>
      </c>
      <c r="S268" s="107">
        <v>0.13600000000000001</v>
      </c>
      <c r="T268" s="106">
        <v>0.54</v>
      </c>
      <c r="U268" s="106">
        <v>0.67</v>
      </c>
      <c r="V268" s="108">
        <f>ROUND((R268*N266+T268*L266+Q268*D266),4)</f>
        <v>0.55740000000000001</v>
      </c>
      <c r="W268" s="109">
        <f>ROUND((S268*0.9*O266+U268*0.9*L266+Q268*D266),4)</f>
        <v>0.84040000000000004</v>
      </c>
      <c r="X268" s="109">
        <f>ROUND((S268*P266+U268*L266+Q268*D266),4)</f>
        <v>2.8267000000000002</v>
      </c>
      <c r="Y268" s="109">
        <f>ROUND((T268*M266+Q268*E266),4)</f>
        <v>0.10539999999999999</v>
      </c>
      <c r="Z268" s="109">
        <f>ROUND((U268*0.9*M266+Q268*E266),4)</f>
        <v>0.106</v>
      </c>
      <c r="AA268" s="109">
        <f>ROUND((U268*M266+Q268*E266),4)</f>
        <v>0.1067</v>
      </c>
      <c r="AB268" s="109">
        <f>ROUND((H266*(V268+Y268)*G266*I266/1000000),5)</f>
        <v>0</v>
      </c>
      <c r="AC268" s="109">
        <f>ROUND((H266*(W268+Z268)*G266*J266/1000000),5)</f>
        <v>3.0000000000000001E-5</v>
      </c>
      <c r="AD268" s="109">
        <f>ROUND((H266*(X268+AA268)*G266*K266/1000000),5)</f>
        <v>1.8000000000000001E-4</v>
      </c>
      <c r="AE268" s="103" t="s">
        <v>56</v>
      </c>
      <c r="AF268" s="104" t="s">
        <v>57</v>
      </c>
      <c r="AG268" s="105">
        <f>ROUND(((X268*F266/3600)),4)</f>
        <v>8.0000000000000004E-4</v>
      </c>
      <c r="AH268" s="105">
        <f>AB268+AC268+AD268</f>
        <v>2.1000000000000001E-4</v>
      </c>
    </row>
    <row r="269" spans="1:36" ht="12.95" customHeight="1" x14ac:dyDescent="0.25">
      <c r="A269" s="576"/>
      <c r="B269" s="166"/>
      <c r="C269" s="94"/>
      <c r="D269" s="94"/>
      <c r="E269" s="94"/>
      <c r="F269" s="94"/>
      <c r="G269" s="94"/>
      <c r="H269" s="94"/>
      <c r="I269" s="94"/>
      <c r="J269" s="94"/>
      <c r="K269" s="94"/>
      <c r="L269" s="99"/>
      <c r="M269" s="99"/>
      <c r="N269" s="94"/>
      <c r="O269" s="94"/>
      <c r="P269" s="94"/>
      <c r="Q269" s="105">
        <v>0.45</v>
      </c>
      <c r="R269" s="106">
        <v>0.4</v>
      </c>
      <c r="S269" s="105">
        <v>1.1000000000000001</v>
      </c>
      <c r="T269" s="106">
        <v>1</v>
      </c>
      <c r="U269" s="106">
        <v>1.2</v>
      </c>
      <c r="V269" s="108">
        <f>ROUND((R269*N266+T269*L266+Q269*D266),4)</f>
        <v>2.06</v>
      </c>
      <c r="W269" s="109">
        <f>ROUND((S269*0.9*O266+U269*0.9*L266+Q269*D266),4)</f>
        <v>6.4008000000000003</v>
      </c>
      <c r="X269" s="109">
        <f>ROUND((S269*P266+U269*L266+Q269*D266),4)</f>
        <v>22.462</v>
      </c>
      <c r="Y269" s="109">
        <f>ROUND((T269*M266+Q269*E266),4)</f>
        <v>0.46</v>
      </c>
      <c r="Z269" s="109">
        <f>ROUND((U269*0.9*M266+Q269*E266),4)</f>
        <v>0.46079999999999999</v>
      </c>
      <c r="AA269" s="109">
        <f>ROUND((U269*M266+Q269*E266),4)</f>
        <v>0.46200000000000002</v>
      </c>
      <c r="AB269" s="109">
        <f>ROUND((H266*(V269+Y269)*G266*I266/1000000),4)</f>
        <v>0</v>
      </c>
      <c r="AC269" s="109">
        <f>ROUND((H266*(W269+Z269)*G266*J266/1000000),4)</f>
        <v>2.0000000000000001E-4</v>
      </c>
      <c r="AD269" s="109">
        <f>ROUND((H266*(X269+AA269)*G266*K266/1000000),4)</f>
        <v>1.4E-3</v>
      </c>
      <c r="AE269" s="103" t="s">
        <v>177</v>
      </c>
      <c r="AF269" s="104" t="s">
        <v>178</v>
      </c>
      <c r="AG269" s="105">
        <f>ROUND(((X269*F266/3600)),4)</f>
        <v>6.1999999999999998E-3</v>
      </c>
      <c r="AH269" s="105">
        <f>AB269+AC269+AD269</f>
        <v>1.6000000000000001E-3</v>
      </c>
    </row>
    <row r="270" spans="1:36" ht="12.95" customHeight="1" x14ac:dyDescent="0.25">
      <c r="A270" s="577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9"/>
      <c r="M270" s="99"/>
      <c r="N270" s="94"/>
      <c r="O270" s="94"/>
      <c r="P270" s="94"/>
      <c r="Q270" s="105">
        <v>2.9</v>
      </c>
      <c r="R270" s="106">
        <v>3</v>
      </c>
      <c r="S270" s="105">
        <v>8.1999999999999993</v>
      </c>
      <c r="T270" s="106">
        <v>6.1</v>
      </c>
      <c r="U270" s="106">
        <v>7.4</v>
      </c>
      <c r="V270" s="167">
        <f>ROUND((R270*N266+T270*L266+Q270*D266),4)</f>
        <v>14.961</v>
      </c>
      <c r="W270" s="168">
        <f>ROUND((S270*0.9*O266+U270*0.9*L266+Q270*D266),4)</f>
        <v>47.246600000000001</v>
      </c>
      <c r="X270" s="168">
        <f>ROUND((S270*P266+U270*L266+Q270*D266),4)</f>
        <v>166.97399999999999</v>
      </c>
      <c r="Y270" s="168">
        <f>ROUND((T270*M266+Q270*E266),4)</f>
        <v>2.9609999999999999</v>
      </c>
      <c r="Z270" s="168">
        <f>ROUND((U270*0.9*M266+Q270*E266),4)</f>
        <v>2.9666000000000001</v>
      </c>
      <c r="AA270" s="168">
        <f>ROUND((U270*M266+Q270*E266),4)</f>
        <v>2.9740000000000002</v>
      </c>
      <c r="AB270" s="168">
        <f>ROUND((H266*(V270+Y270)*G266*I266/1000000),4)</f>
        <v>0</v>
      </c>
      <c r="AC270" s="168">
        <f>ROUND((H266*(W270+Z270)*G266*J266/1000000),4)</f>
        <v>1.5E-3</v>
      </c>
      <c r="AD270" s="168">
        <f>ROUND((H266*(X270+AA270)*G266*K266/1000000),4)</f>
        <v>1.0200000000000001E-2</v>
      </c>
      <c r="AE270" s="103" t="s">
        <v>65</v>
      </c>
      <c r="AF270" s="104" t="s">
        <v>66</v>
      </c>
      <c r="AG270" s="105">
        <f>ROUND(((X270*F266/3600)),4)</f>
        <v>4.6399999999999997E-2</v>
      </c>
      <c r="AH270" s="105">
        <f>AB270+AC270+AD270</f>
        <v>1.17E-2</v>
      </c>
    </row>
    <row r="271" spans="1:36" ht="12.95" customHeight="1" x14ac:dyDescent="0.25">
      <c r="A271" s="58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2"/>
      <c r="M271" s="102"/>
      <c r="N271" s="101"/>
      <c r="O271" s="101"/>
      <c r="P271" s="101"/>
      <c r="Q271" s="105">
        <v>0.04</v>
      </c>
      <c r="R271" s="106">
        <v>0.04</v>
      </c>
      <c r="S271" s="105">
        <v>0.16</v>
      </c>
      <c r="T271" s="106">
        <v>0.3</v>
      </c>
      <c r="U271" s="106">
        <v>0.4</v>
      </c>
      <c r="V271" s="167">
        <f>ROUND((R271*N266+T271*L266+Q271*D266),4)</f>
        <v>0.20300000000000001</v>
      </c>
      <c r="W271" s="168">
        <f>ROUND((S271*0.9*O266+U271*0.9*L266+Q271*D266),4)</f>
        <v>0.90759999999999996</v>
      </c>
      <c r="X271" s="168">
        <f>ROUND((S271*P266+U271*L266+Q271*D266),4)</f>
        <v>3.2440000000000002</v>
      </c>
      <c r="Y271" s="168">
        <f>ROUND((T271*M266+Q271*E266),4)</f>
        <v>4.2999999999999997E-2</v>
      </c>
      <c r="Z271" s="168">
        <f>ROUND((U271*0.9*M266+Q271*E266),4)</f>
        <v>4.36E-2</v>
      </c>
      <c r="AA271" s="168">
        <f>ROUND((U271*M266+Q271*E266),4)</f>
        <v>4.3999999999999997E-2</v>
      </c>
      <c r="AB271" s="168">
        <f>ROUND((H266*(V271+Y271)*G266*I266/1000000),5)</f>
        <v>0</v>
      </c>
      <c r="AC271" s="168">
        <f>ROUND((H266*(W271+Z271)*G266*J266/1000000),5)</f>
        <v>3.0000000000000001E-5</v>
      </c>
      <c r="AD271" s="168">
        <f>ROUND((H266*(X271+AA271)*G266*K266/1000000),4)</f>
        <v>2.0000000000000001E-4</v>
      </c>
      <c r="AE271" s="103" t="s">
        <v>213</v>
      </c>
      <c r="AF271" s="104" t="s">
        <v>62</v>
      </c>
      <c r="AG271" s="105">
        <f>ROUND(((X271*F266/3600)),4)</f>
        <v>8.9999999999999998E-4</v>
      </c>
      <c r="AH271" s="105">
        <f>AB271+AC271+AD271</f>
        <v>2.3000000000000001E-4</v>
      </c>
      <c r="AI271" s="61">
        <f>SUM(AG266:AG271)</f>
        <v>6.4899999999999999E-2</v>
      </c>
      <c r="AJ271" s="61">
        <f>SUM(AH266:AH271)</f>
        <v>1.6440000000000003E-2</v>
      </c>
    </row>
    <row r="272" spans="1:36" ht="12.95" customHeight="1" x14ac:dyDescent="0.25">
      <c r="A272" s="1518" t="s">
        <v>717</v>
      </c>
      <c r="B272" s="1519"/>
      <c r="C272" s="1519"/>
      <c r="D272" s="1519"/>
      <c r="E272" s="1519"/>
      <c r="F272" s="1519"/>
      <c r="G272" s="1519"/>
      <c r="H272" s="1519"/>
      <c r="I272" s="1519"/>
      <c r="J272" s="1519"/>
      <c r="K272" s="1519"/>
      <c r="L272" s="1519"/>
      <c r="M272" s="1519"/>
      <c r="N272" s="1519"/>
      <c r="O272" s="1519"/>
      <c r="P272" s="1519"/>
      <c r="Q272" s="1519"/>
      <c r="R272" s="1519"/>
      <c r="S272" s="1519"/>
      <c r="T272" s="1520"/>
      <c r="U272" s="1520"/>
      <c r="V272" s="1519"/>
      <c r="W272" s="1519"/>
      <c r="X272" s="1519"/>
      <c r="Y272" s="1519"/>
      <c r="Z272" s="1519"/>
      <c r="AA272" s="1519"/>
      <c r="AB272" s="1519"/>
      <c r="AC272" s="1519"/>
      <c r="AD272" s="1519"/>
      <c r="AE272" s="1519"/>
      <c r="AF272" s="1519"/>
      <c r="AG272" s="1519"/>
      <c r="AH272" s="1521"/>
    </row>
    <row r="273" spans="1:38" ht="12.95" customHeight="1" x14ac:dyDescent="0.25">
      <c r="A273" s="574" t="s">
        <v>1022</v>
      </c>
      <c r="B273" s="93" t="s">
        <v>211</v>
      </c>
      <c r="C273" s="1109" t="s">
        <v>444</v>
      </c>
      <c r="D273" s="97">
        <v>1</v>
      </c>
      <c r="E273" s="97">
        <v>1</v>
      </c>
      <c r="F273" s="97">
        <v>1</v>
      </c>
      <c r="G273" s="97">
        <v>1</v>
      </c>
      <c r="H273" s="97">
        <f>ROUND((F273/G273),2)</f>
        <v>1</v>
      </c>
      <c r="I273" s="490">
        <v>0</v>
      </c>
      <c r="J273" s="490">
        <v>30</v>
      </c>
      <c r="K273" s="491">
        <v>60</v>
      </c>
      <c r="L273" s="98">
        <v>0.01</v>
      </c>
      <c r="M273" s="98">
        <v>0.01</v>
      </c>
      <c r="N273" s="97">
        <v>4</v>
      </c>
      <c r="O273" s="97">
        <v>6</v>
      </c>
      <c r="P273" s="97">
        <v>20</v>
      </c>
      <c r="Q273" s="97">
        <v>1</v>
      </c>
      <c r="R273" s="96">
        <v>1</v>
      </c>
      <c r="S273" s="97">
        <v>2</v>
      </c>
      <c r="T273" s="96">
        <v>4</v>
      </c>
      <c r="U273" s="96">
        <v>4</v>
      </c>
      <c r="V273" s="108">
        <f>ROUND((R273*N273+T273*L273+Q273*D273),4)</f>
        <v>5.04</v>
      </c>
      <c r="W273" s="109">
        <f>ROUND((S273*O273+U273*L273+Q273*D273),4)</f>
        <v>13.04</v>
      </c>
      <c r="X273" s="109">
        <f>ROUND((S273*P273+U273*L273+Q273*D273),4)</f>
        <v>41.04</v>
      </c>
      <c r="Y273" s="109">
        <f>ROUND((T273*M273+Q273*E273),4)</f>
        <v>1.04</v>
      </c>
      <c r="Z273" s="109">
        <f>ROUND((U273*M273+Q273*E273),4)</f>
        <v>1.04</v>
      </c>
      <c r="AA273" s="109">
        <f>ROUND((U273*M273+Q273*E273),4)</f>
        <v>1.04</v>
      </c>
      <c r="AB273" s="109">
        <f>ROUND((H273*(V273+Y273)*G273*I273/1000000),4)</f>
        <v>0</v>
      </c>
      <c r="AC273" s="109">
        <f>ROUND((H273*(W273+Z273)*G273*J273/1000000),4)</f>
        <v>4.0000000000000002E-4</v>
      </c>
      <c r="AD273" s="109">
        <f>ROUND((H273*(X273+AA273)*G273*K273/1000000),4)</f>
        <v>2.5000000000000001E-3</v>
      </c>
      <c r="AE273" s="103" t="s">
        <v>48</v>
      </c>
      <c r="AF273" s="104" t="s">
        <v>49</v>
      </c>
      <c r="AG273" s="105">
        <f>ROUND(((X273*F273/3600)*0.8),4)</f>
        <v>9.1000000000000004E-3</v>
      </c>
      <c r="AH273" s="105">
        <f>ROUND(((AB273+AC273+AD273)*0.8),4)</f>
        <v>2.3E-3</v>
      </c>
    </row>
    <row r="274" spans="1:38" ht="12.95" customHeight="1" x14ac:dyDescent="0.25">
      <c r="A274" s="575" t="s">
        <v>150</v>
      </c>
      <c r="B274" s="94" t="s">
        <v>212</v>
      </c>
      <c r="C274" s="1110"/>
      <c r="D274" s="94"/>
      <c r="E274" s="94"/>
      <c r="F274" s="94"/>
      <c r="G274" s="94"/>
      <c r="H274" s="94"/>
      <c r="I274" s="94"/>
      <c r="J274" s="94"/>
      <c r="K274" s="94"/>
      <c r="L274" s="99"/>
      <c r="M274" s="99"/>
      <c r="N274" s="94"/>
      <c r="O274" s="94"/>
      <c r="P274" s="94"/>
      <c r="Q274" s="101"/>
      <c r="R274" s="101"/>
      <c r="S274" s="102"/>
      <c r="T274" s="101"/>
      <c r="U274" s="101"/>
      <c r="V274" s="110"/>
      <c r="W274" s="111"/>
      <c r="X274" s="111"/>
      <c r="Y274" s="111"/>
      <c r="Z274" s="111"/>
      <c r="AA274" s="111"/>
      <c r="AB274" s="111"/>
      <c r="AC274" s="111"/>
      <c r="AD274" s="111"/>
      <c r="AE274" s="103" t="s">
        <v>51</v>
      </c>
      <c r="AF274" s="104" t="s">
        <v>52</v>
      </c>
      <c r="AG274" s="105">
        <f>ROUND(((X273*F273/3600)*0.13),4)</f>
        <v>1.5E-3</v>
      </c>
      <c r="AH274" s="105">
        <f>ROUND(((AB273+AC273+AD273)*0.13),4)</f>
        <v>4.0000000000000002E-4</v>
      </c>
    </row>
    <row r="275" spans="1:38" ht="12.95" customHeight="1" x14ac:dyDescent="0.25">
      <c r="A275" s="576"/>
      <c r="B275" s="95" t="s">
        <v>491</v>
      </c>
      <c r="C275" s="95"/>
      <c r="D275" s="94"/>
      <c r="E275" s="94"/>
      <c r="F275" s="94"/>
      <c r="G275" s="94"/>
      <c r="H275" s="94"/>
      <c r="I275" s="94"/>
      <c r="J275" s="94"/>
      <c r="K275" s="94"/>
      <c r="L275" s="99"/>
      <c r="M275" s="99"/>
      <c r="N275" s="94"/>
      <c r="O275" s="94"/>
      <c r="P275" s="94"/>
      <c r="Q275" s="105">
        <v>0.1</v>
      </c>
      <c r="R275" s="106">
        <v>0.113</v>
      </c>
      <c r="S275" s="107">
        <v>0.13600000000000001</v>
      </c>
      <c r="T275" s="106">
        <v>0.54</v>
      </c>
      <c r="U275" s="106">
        <v>0.67</v>
      </c>
      <c r="V275" s="108">
        <f>ROUND((R275*N273+T275*L273+Q275*D273),4)</f>
        <v>0.55740000000000001</v>
      </c>
      <c r="W275" s="109">
        <f>ROUND((S275*0.9*O273+U275*0.9*L273+Q275*D273),4)</f>
        <v>0.84040000000000004</v>
      </c>
      <c r="X275" s="109">
        <f>ROUND((S275*P273+U275*L273+Q275*D273),4)</f>
        <v>2.8267000000000002</v>
      </c>
      <c r="Y275" s="109">
        <f>ROUND((T275*M273+Q275*E273),4)</f>
        <v>0.10539999999999999</v>
      </c>
      <c r="Z275" s="109">
        <f>ROUND((U275*0.9*M273+Q275*E273),4)</f>
        <v>0.106</v>
      </c>
      <c r="AA275" s="109">
        <f>ROUND((U275*M273+Q275*E273),4)</f>
        <v>0.1067</v>
      </c>
      <c r="AB275" s="109">
        <f>ROUND((H273*(V275+Y275)*G273*I273/1000000),5)</f>
        <v>0</v>
      </c>
      <c r="AC275" s="109">
        <f>ROUND((H273*(W275+Z275)*G273*J273/1000000),5)</f>
        <v>3.0000000000000001E-5</v>
      </c>
      <c r="AD275" s="109">
        <f>ROUND((H273*(X275+AA275)*G273*K273/1000000),5)</f>
        <v>1.8000000000000001E-4</v>
      </c>
      <c r="AE275" s="103" t="s">
        <v>56</v>
      </c>
      <c r="AF275" s="104" t="s">
        <v>57</v>
      </c>
      <c r="AG275" s="105">
        <f>ROUND(((X275*F273/3600)),4)</f>
        <v>8.0000000000000004E-4</v>
      </c>
      <c r="AH275" s="105">
        <f>AB275+AC275+AD275</f>
        <v>2.1000000000000001E-4</v>
      </c>
    </row>
    <row r="276" spans="1:38" ht="12.95" customHeight="1" x14ac:dyDescent="0.25">
      <c r="A276" s="576"/>
      <c r="B276" s="166"/>
      <c r="C276" s="94"/>
      <c r="D276" s="94"/>
      <c r="E276" s="94"/>
      <c r="F276" s="94"/>
      <c r="G276" s="94"/>
      <c r="H276" s="94"/>
      <c r="I276" s="94"/>
      <c r="J276" s="94"/>
      <c r="K276" s="94"/>
      <c r="L276" s="99"/>
      <c r="M276" s="99"/>
      <c r="N276" s="94"/>
      <c r="O276" s="94"/>
      <c r="P276" s="94"/>
      <c r="Q276" s="105">
        <v>0.45</v>
      </c>
      <c r="R276" s="106">
        <v>0.4</v>
      </c>
      <c r="S276" s="105">
        <v>1.1000000000000001</v>
      </c>
      <c r="T276" s="106">
        <v>1</v>
      </c>
      <c r="U276" s="106">
        <v>1.2</v>
      </c>
      <c r="V276" s="108">
        <f>ROUND((R276*N273+T276*L273+Q276*D273),4)</f>
        <v>2.06</v>
      </c>
      <c r="W276" s="109">
        <f>ROUND((S276*0.9*O273+U276*0.9*L273+Q276*D273),4)</f>
        <v>6.4008000000000003</v>
      </c>
      <c r="X276" s="109">
        <f>ROUND((S276*P273+U276*L273+Q276*D273),4)</f>
        <v>22.462</v>
      </c>
      <c r="Y276" s="109">
        <f>ROUND((T276*M273+Q276*E273),4)</f>
        <v>0.46</v>
      </c>
      <c r="Z276" s="109">
        <f>ROUND((U276*0.9*M273+Q276*E273),4)</f>
        <v>0.46079999999999999</v>
      </c>
      <c r="AA276" s="109">
        <f>ROUND((U276*M273+Q276*E273),4)</f>
        <v>0.46200000000000002</v>
      </c>
      <c r="AB276" s="109">
        <f>ROUND((H273*(V276+Y276)*G273*I273/1000000),4)</f>
        <v>0</v>
      </c>
      <c r="AC276" s="109">
        <f>ROUND((H273*(W276+Z276)*G273*J273/1000000),4)</f>
        <v>2.0000000000000001E-4</v>
      </c>
      <c r="AD276" s="109">
        <f>ROUND((H273*(X276+AA276)*G273*K273/1000000),4)</f>
        <v>1.4E-3</v>
      </c>
      <c r="AE276" s="103" t="s">
        <v>177</v>
      </c>
      <c r="AF276" s="104" t="s">
        <v>178</v>
      </c>
      <c r="AG276" s="105">
        <f>ROUND(((X276*F273/3600)),4)</f>
        <v>6.1999999999999998E-3</v>
      </c>
      <c r="AH276" s="105">
        <f>AB276+AC276+AD276</f>
        <v>1.6000000000000001E-3</v>
      </c>
    </row>
    <row r="277" spans="1:38" ht="12.95" customHeight="1" x14ac:dyDescent="0.25">
      <c r="A277" s="577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9"/>
      <c r="M277" s="99"/>
      <c r="N277" s="94"/>
      <c r="O277" s="94"/>
      <c r="P277" s="94"/>
      <c r="Q277" s="105">
        <v>2.9</v>
      </c>
      <c r="R277" s="106">
        <v>3</v>
      </c>
      <c r="S277" s="105">
        <v>8.1999999999999993</v>
      </c>
      <c r="T277" s="106">
        <v>6.1</v>
      </c>
      <c r="U277" s="106">
        <v>7.4</v>
      </c>
      <c r="V277" s="167">
        <f>ROUND((R277*N273+T277*L273+Q277*D273),4)</f>
        <v>14.961</v>
      </c>
      <c r="W277" s="168">
        <f>ROUND((S277*0.9*O273+U277*0.9*L273+Q277*D273),4)</f>
        <v>47.246600000000001</v>
      </c>
      <c r="X277" s="168">
        <f>ROUND((S277*P273+U277*L273+Q277*D273),4)</f>
        <v>166.97399999999999</v>
      </c>
      <c r="Y277" s="168">
        <f>ROUND((T277*M273+Q277*E273),4)</f>
        <v>2.9609999999999999</v>
      </c>
      <c r="Z277" s="168">
        <f>ROUND((U277*0.9*M273+Q277*E273),4)</f>
        <v>2.9666000000000001</v>
      </c>
      <c r="AA277" s="168">
        <f>ROUND((U277*M273+Q277*E273),4)</f>
        <v>2.9740000000000002</v>
      </c>
      <c r="AB277" s="168">
        <f>ROUND((H273*(V277+Y277)*G273*I273/1000000),4)</f>
        <v>0</v>
      </c>
      <c r="AC277" s="168">
        <f>ROUND((H273*(W277+Z277)*G273*J273/1000000),4)</f>
        <v>1.5E-3</v>
      </c>
      <c r="AD277" s="168">
        <f>ROUND((H273*(X277+AA277)*G273*K273/1000000),4)</f>
        <v>1.0200000000000001E-2</v>
      </c>
      <c r="AE277" s="103" t="s">
        <v>65</v>
      </c>
      <c r="AF277" s="104" t="s">
        <v>66</v>
      </c>
      <c r="AG277" s="105">
        <f>ROUND(((X277*F273/3600)),4)</f>
        <v>4.6399999999999997E-2</v>
      </c>
      <c r="AH277" s="105">
        <f>AB277+AC277+AD277</f>
        <v>1.17E-2</v>
      </c>
    </row>
    <row r="278" spans="1:38" ht="12.95" customHeight="1" x14ac:dyDescent="0.25">
      <c r="A278" s="58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2"/>
      <c r="M278" s="102"/>
      <c r="N278" s="101"/>
      <c r="O278" s="101"/>
      <c r="P278" s="101"/>
      <c r="Q278" s="105">
        <v>0.04</v>
      </c>
      <c r="R278" s="106">
        <v>0.04</v>
      </c>
      <c r="S278" s="105">
        <v>0.16</v>
      </c>
      <c r="T278" s="106">
        <v>0.3</v>
      </c>
      <c r="U278" s="106">
        <v>0.4</v>
      </c>
      <c r="V278" s="167">
        <f>ROUND((R278*N273+T278*L273+Q278*D273),4)</f>
        <v>0.20300000000000001</v>
      </c>
      <c r="W278" s="168">
        <f>ROUND((S278*0.9*O273+U278*0.9*L273+Q278*D273),4)</f>
        <v>0.90759999999999996</v>
      </c>
      <c r="X278" s="168">
        <f>ROUND((S278*P273+U278*L273+Q278*D273),4)</f>
        <v>3.2440000000000002</v>
      </c>
      <c r="Y278" s="168">
        <f>ROUND((T278*M273+Q278*E273),4)</f>
        <v>4.2999999999999997E-2</v>
      </c>
      <c r="Z278" s="168">
        <f>ROUND((U278*0.9*M273+Q278*E273),4)</f>
        <v>4.36E-2</v>
      </c>
      <c r="AA278" s="168">
        <f>ROUND((U278*M273+Q278*E273),4)</f>
        <v>4.3999999999999997E-2</v>
      </c>
      <c r="AB278" s="168">
        <f>ROUND((H273*(V278+Y278)*G273*I273/1000000),5)</f>
        <v>0</v>
      </c>
      <c r="AC278" s="168">
        <f>ROUND((H273*(W278+Z278)*G273*J273/1000000),5)</f>
        <v>3.0000000000000001E-5</v>
      </c>
      <c r="AD278" s="168">
        <f>ROUND((H273*(X278+AA278)*G273*K273/1000000),4)</f>
        <v>2.0000000000000001E-4</v>
      </c>
      <c r="AE278" s="103" t="s">
        <v>213</v>
      </c>
      <c r="AF278" s="104" t="s">
        <v>62</v>
      </c>
      <c r="AG278" s="105">
        <f>ROUND(((X278*F273/3600)),4)</f>
        <v>8.9999999999999998E-4</v>
      </c>
      <c r="AH278" s="105">
        <f>AB278+AC278+AD278</f>
        <v>2.3000000000000001E-4</v>
      </c>
      <c r="AI278" s="61">
        <f>SUM(AG273:AG278)</f>
        <v>6.4899999999999999E-2</v>
      </c>
      <c r="AJ278" s="61">
        <f>SUM(AH273:AH278)</f>
        <v>1.6440000000000003E-2</v>
      </c>
    </row>
    <row r="279" spans="1:38" ht="12.95" customHeight="1" x14ac:dyDescent="0.25">
      <c r="A279" s="1518" t="s">
        <v>1025</v>
      </c>
      <c r="B279" s="1519"/>
      <c r="C279" s="1519"/>
      <c r="D279" s="1519"/>
      <c r="E279" s="1519"/>
      <c r="F279" s="1519"/>
      <c r="G279" s="1519"/>
      <c r="H279" s="1519"/>
      <c r="I279" s="1519"/>
      <c r="J279" s="1519"/>
      <c r="K279" s="1519"/>
      <c r="L279" s="1519"/>
      <c r="M279" s="1519"/>
      <c r="N279" s="1519"/>
      <c r="O279" s="1519"/>
      <c r="P279" s="1519"/>
      <c r="Q279" s="1519"/>
      <c r="R279" s="1519"/>
      <c r="S279" s="1519"/>
      <c r="T279" s="1520"/>
      <c r="U279" s="1520"/>
      <c r="V279" s="1519"/>
      <c r="W279" s="1519"/>
      <c r="X279" s="1519"/>
      <c r="Y279" s="1519"/>
      <c r="Z279" s="1519"/>
      <c r="AA279" s="1519"/>
      <c r="AB279" s="1519"/>
      <c r="AC279" s="1519"/>
      <c r="AD279" s="1519"/>
      <c r="AE279" s="1519"/>
      <c r="AF279" s="1519"/>
      <c r="AG279" s="1519"/>
      <c r="AH279" s="1521"/>
    </row>
    <row r="280" spans="1:38" ht="12.95" customHeight="1" x14ac:dyDescent="0.25">
      <c r="A280" s="574" t="s">
        <v>1026</v>
      </c>
      <c r="B280" s="93" t="s">
        <v>211</v>
      </c>
      <c r="C280" s="1109" t="s">
        <v>298</v>
      </c>
      <c r="D280" s="97">
        <v>1</v>
      </c>
      <c r="E280" s="97">
        <v>1</v>
      </c>
      <c r="F280" s="97">
        <v>1</v>
      </c>
      <c r="G280" s="97">
        <v>1</v>
      </c>
      <c r="H280" s="97">
        <f>ROUND((F280/G280),2)</f>
        <v>1</v>
      </c>
      <c r="I280" s="490">
        <v>0</v>
      </c>
      <c r="J280" s="490">
        <v>30</v>
      </c>
      <c r="K280" s="491">
        <v>60</v>
      </c>
      <c r="L280" s="98">
        <v>0.01</v>
      </c>
      <c r="M280" s="98">
        <v>0.01</v>
      </c>
      <c r="N280" s="97">
        <v>4</v>
      </c>
      <c r="O280" s="97">
        <v>6</v>
      </c>
      <c r="P280" s="97">
        <v>20</v>
      </c>
      <c r="Q280" s="97">
        <v>1</v>
      </c>
      <c r="R280" s="96">
        <v>1</v>
      </c>
      <c r="S280" s="97">
        <v>2</v>
      </c>
      <c r="T280" s="96">
        <v>4.5</v>
      </c>
      <c r="U280" s="96">
        <v>4.5</v>
      </c>
      <c r="V280" s="108">
        <f>ROUND((R280*N280+T280*L280+Q280*D280),4)</f>
        <v>5.0449999999999999</v>
      </c>
      <c r="W280" s="109">
        <f>ROUND((S280*O280+U280*L280+Q280*D280),4)</f>
        <v>13.045</v>
      </c>
      <c r="X280" s="109">
        <f>ROUND((S280*P280+U280*L280+Q280*D280),4)</f>
        <v>41.045000000000002</v>
      </c>
      <c r="Y280" s="109">
        <f>ROUND((T280*M280+Q280*E280),4)</f>
        <v>1.0449999999999999</v>
      </c>
      <c r="Z280" s="109">
        <f>ROUND((U280*M280+Q280*E280),4)</f>
        <v>1.0449999999999999</v>
      </c>
      <c r="AA280" s="109">
        <f>ROUND((U280*M280+Q280*E280),4)</f>
        <v>1.0449999999999999</v>
      </c>
      <c r="AB280" s="109">
        <f>ROUND((H280*(V280+Y280)*G280*I280/1000000),4)</f>
        <v>0</v>
      </c>
      <c r="AC280" s="109">
        <f>ROUND((H280*(W280+Z280)*G280*J280/1000000),4)</f>
        <v>4.0000000000000002E-4</v>
      </c>
      <c r="AD280" s="109">
        <f>ROUND((H280*(X280+AA280)*G280*K280/1000000),4)</f>
        <v>2.5000000000000001E-3</v>
      </c>
      <c r="AE280" s="103" t="s">
        <v>48</v>
      </c>
      <c r="AF280" s="104" t="s">
        <v>49</v>
      </c>
      <c r="AG280" s="105">
        <f>ROUND(((X280*F280/3600)*0.8),4)</f>
        <v>9.1000000000000004E-3</v>
      </c>
      <c r="AH280" s="105">
        <f>ROUND(((AB280+AC280+AD280)*0.8),4)</f>
        <v>2.3E-3</v>
      </c>
    </row>
    <row r="281" spans="1:38" ht="12.95" customHeight="1" x14ac:dyDescent="0.25">
      <c r="A281" s="575" t="s">
        <v>150</v>
      </c>
      <c r="B281" s="94" t="s">
        <v>212</v>
      </c>
      <c r="C281" s="1110"/>
      <c r="D281" s="94"/>
      <c r="E281" s="94"/>
      <c r="F281" s="94"/>
      <c r="G281" s="94"/>
      <c r="H281" s="94"/>
      <c r="I281" s="94"/>
      <c r="J281" s="94"/>
      <c r="K281" s="94"/>
      <c r="L281" s="99"/>
      <c r="M281" s="99"/>
      <c r="N281" s="94"/>
      <c r="O281" s="94"/>
      <c r="P281" s="94"/>
      <c r="Q281" s="101"/>
      <c r="R281" s="101"/>
      <c r="S281" s="102"/>
      <c r="T281" s="101"/>
      <c r="U281" s="101"/>
      <c r="V281" s="110"/>
      <c r="W281" s="111"/>
      <c r="X281" s="111"/>
      <c r="Y281" s="111"/>
      <c r="Z281" s="111"/>
      <c r="AA281" s="111"/>
      <c r="AB281" s="111"/>
      <c r="AC281" s="111"/>
      <c r="AD281" s="111"/>
      <c r="AE281" s="103" t="s">
        <v>51</v>
      </c>
      <c r="AF281" s="104" t="s">
        <v>52</v>
      </c>
      <c r="AG281" s="105">
        <f>ROUND(((X280*F280/3600)*0.13),4)</f>
        <v>1.5E-3</v>
      </c>
      <c r="AH281" s="105">
        <f>ROUND(((AB280+AC280+AD280)*0.13),4)</f>
        <v>4.0000000000000002E-4</v>
      </c>
    </row>
    <row r="282" spans="1:38" ht="12.95" customHeight="1" x14ac:dyDescent="0.25">
      <c r="A282" s="576"/>
      <c r="B282" s="95" t="s">
        <v>1027</v>
      </c>
      <c r="C282" s="95"/>
      <c r="D282" s="94"/>
      <c r="E282" s="94"/>
      <c r="F282" s="94"/>
      <c r="G282" s="94"/>
      <c r="H282" s="94"/>
      <c r="I282" s="94"/>
      <c r="J282" s="94"/>
      <c r="K282" s="94"/>
      <c r="L282" s="99"/>
      <c r="M282" s="99"/>
      <c r="N282" s="94"/>
      <c r="O282" s="94"/>
      <c r="P282" s="94"/>
      <c r="Q282" s="105">
        <v>0.1</v>
      </c>
      <c r="R282" s="106">
        <v>0.113</v>
      </c>
      <c r="S282" s="107">
        <v>0.13600000000000001</v>
      </c>
      <c r="T282" s="106">
        <v>0.78</v>
      </c>
      <c r="U282" s="106">
        <v>0.97</v>
      </c>
      <c r="V282" s="108">
        <f>ROUND((R282*N280+T282*L280+Q282*D280),4)</f>
        <v>0.55979999999999996</v>
      </c>
      <c r="W282" s="109">
        <f>ROUND((S282*0.9*O280+U282*0.9*L280+Q282*D280),4)</f>
        <v>0.84309999999999996</v>
      </c>
      <c r="X282" s="109">
        <f>ROUND((S282*P280+U282*L280+Q282*D280),4)</f>
        <v>2.8296999999999999</v>
      </c>
      <c r="Y282" s="109">
        <f>ROUND((T282*M280+Q282*E280),4)</f>
        <v>0.10780000000000001</v>
      </c>
      <c r="Z282" s="109">
        <f>ROUND((U282*0.9*M280+Q282*E280),4)</f>
        <v>0.1087</v>
      </c>
      <c r="AA282" s="109">
        <f>ROUND((U282*M280+Q282*E280),4)</f>
        <v>0.10970000000000001</v>
      </c>
      <c r="AB282" s="109">
        <f>ROUND((H280*(V282+Y282)*G280*I280/1000000),5)</f>
        <v>0</v>
      </c>
      <c r="AC282" s="109">
        <f>ROUND((H280*(W282+Z282)*G280*J280/1000000),5)</f>
        <v>3.0000000000000001E-5</v>
      </c>
      <c r="AD282" s="109">
        <f>ROUND((H280*(X282+AA282)*G280*K280/1000000),5)</f>
        <v>1.8000000000000001E-4</v>
      </c>
      <c r="AE282" s="103" t="s">
        <v>56</v>
      </c>
      <c r="AF282" s="104" t="s">
        <v>57</v>
      </c>
      <c r="AG282" s="105">
        <f>ROUND(((X282*F280/3600)),4)</f>
        <v>8.0000000000000004E-4</v>
      </c>
      <c r="AH282" s="105">
        <f>AB282+AC282+AD282</f>
        <v>2.1000000000000001E-4</v>
      </c>
    </row>
    <row r="283" spans="1:38" ht="12.95" customHeight="1" x14ac:dyDescent="0.25">
      <c r="A283" s="576"/>
      <c r="B283" s="166" t="s">
        <v>1028</v>
      </c>
      <c r="C283" s="94"/>
      <c r="D283" s="94"/>
      <c r="E283" s="94"/>
      <c r="F283" s="94"/>
      <c r="G283" s="94"/>
      <c r="H283" s="94"/>
      <c r="I283" s="94"/>
      <c r="J283" s="94"/>
      <c r="K283" s="94"/>
      <c r="L283" s="99"/>
      <c r="M283" s="99"/>
      <c r="N283" s="94"/>
      <c r="O283" s="94"/>
      <c r="P283" s="94"/>
      <c r="Q283" s="105">
        <v>0.45</v>
      </c>
      <c r="R283" s="106">
        <v>0.4</v>
      </c>
      <c r="S283" s="105">
        <v>1.1000000000000001</v>
      </c>
      <c r="T283" s="106">
        <v>1.1000000000000001</v>
      </c>
      <c r="U283" s="106">
        <v>1.3</v>
      </c>
      <c r="V283" s="108">
        <f>ROUND((R283*N280+T283*L280+Q283*D280),4)</f>
        <v>2.0609999999999999</v>
      </c>
      <c r="W283" s="109">
        <f>ROUND((S283*0.9*O280+U283*0.9*L280+Q283*D280),4)</f>
        <v>6.4016999999999999</v>
      </c>
      <c r="X283" s="109">
        <f>ROUND((S283*P280+U283*L280+Q283*D280),4)</f>
        <v>22.463000000000001</v>
      </c>
      <c r="Y283" s="109">
        <f>ROUND((T283*M280+Q283*E280),4)</f>
        <v>0.46100000000000002</v>
      </c>
      <c r="Z283" s="109">
        <f>ROUND((U283*0.9*M280+Q283*E280),4)</f>
        <v>0.4617</v>
      </c>
      <c r="AA283" s="109">
        <f>ROUND((U283*M280+Q283*E280),4)</f>
        <v>0.46300000000000002</v>
      </c>
      <c r="AB283" s="109">
        <f>ROUND((H280*(V283+Y283)*G280*I280/1000000),4)</f>
        <v>0</v>
      </c>
      <c r="AC283" s="109">
        <f>ROUND((H280*(W283+Z283)*G280*J280/1000000),4)</f>
        <v>2.0000000000000001E-4</v>
      </c>
      <c r="AD283" s="109">
        <f>ROUND((H280*(X283+AA283)*G280*K280/1000000),4)</f>
        <v>1.4E-3</v>
      </c>
      <c r="AE283" s="103" t="s">
        <v>177</v>
      </c>
      <c r="AF283" s="104" t="s">
        <v>178</v>
      </c>
      <c r="AG283" s="105">
        <f>ROUND(((X283*F280/3600)),4)</f>
        <v>6.1999999999999998E-3</v>
      </c>
      <c r="AH283" s="105">
        <f>AB283+AC283+AD283</f>
        <v>1.6000000000000001E-3</v>
      </c>
    </row>
    <row r="284" spans="1:38" ht="12.95" customHeight="1" x14ac:dyDescent="0.25">
      <c r="A284" s="577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9"/>
      <c r="M284" s="99"/>
      <c r="N284" s="94"/>
      <c r="O284" s="94"/>
      <c r="P284" s="94"/>
      <c r="Q284" s="105">
        <v>2.9</v>
      </c>
      <c r="R284" s="106">
        <v>3</v>
      </c>
      <c r="S284" s="105">
        <v>8.1999999999999993</v>
      </c>
      <c r="T284" s="106">
        <v>7.5</v>
      </c>
      <c r="U284" s="106">
        <v>9.3000000000000007</v>
      </c>
      <c r="V284" s="167">
        <f>ROUND((R284*N280+T284*L280+Q284*D280),4)</f>
        <v>14.975</v>
      </c>
      <c r="W284" s="168">
        <f>ROUND((S284*0.9*O280+U284*0.9*L280+Q284*D280),4)</f>
        <v>47.2637</v>
      </c>
      <c r="X284" s="168">
        <f>ROUND((S284*P280+U284*L280+Q284*D280),4)</f>
        <v>166.99299999999999</v>
      </c>
      <c r="Y284" s="168">
        <f>ROUND((T284*M280+Q284*E280),4)</f>
        <v>2.9750000000000001</v>
      </c>
      <c r="Z284" s="168">
        <f>ROUND((U284*0.9*M280+Q284*E280),4)</f>
        <v>2.9836999999999998</v>
      </c>
      <c r="AA284" s="168">
        <f>ROUND((U284*M280+Q284*E280),4)</f>
        <v>2.9929999999999999</v>
      </c>
      <c r="AB284" s="168">
        <f>ROUND((H280*(V284+Y284)*G280*I280/1000000),4)</f>
        <v>0</v>
      </c>
      <c r="AC284" s="168">
        <f>ROUND((H280*(W284+Z284)*G280*J280/1000000),4)</f>
        <v>1.5E-3</v>
      </c>
      <c r="AD284" s="168">
        <f>ROUND((H280*(X284+AA284)*G280*K280/1000000),4)</f>
        <v>1.0200000000000001E-2</v>
      </c>
      <c r="AE284" s="103" t="s">
        <v>65</v>
      </c>
      <c r="AF284" s="104" t="s">
        <v>66</v>
      </c>
      <c r="AG284" s="105">
        <f>ROUND(((X284*F280/3600)),4)</f>
        <v>4.6399999999999997E-2</v>
      </c>
      <c r="AH284" s="105">
        <f>AB284+AC284+AD284</f>
        <v>1.17E-2</v>
      </c>
    </row>
    <row r="285" spans="1:38" ht="12.95" customHeight="1" x14ac:dyDescent="0.25">
      <c r="A285" s="58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2"/>
      <c r="M285" s="102"/>
      <c r="N285" s="101"/>
      <c r="O285" s="101"/>
      <c r="P285" s="101"/>
      <c r="Q285" s="105">
        <v>0.04</v>
      </c>
      <c r="R285" s="106">
        <v>0.04</v>
      </c>
      <c r="S285" s="105">
        <v>0.16</v>
      </c>
      <c r="T285" s="106">
        <v>0.4</v>
      </c>
      <c r="U285" s="106">
        <v>0.5</v>
      </c>
      <c r="V285" s="167">
        <f>ROUND((R285*N280+T285*L280+Q285*D280),4)</f>
        <v>0.20399999999999999</v>
      </c>
      <c r="W285" s="168">
        <f>ROUND((S285*0.9*O280+U285*0.9*L280+Q285*D280),4)</f>
        <v>0.90849999999999997</v>
      </c>
      <c r="X285" s="168">
        <f>ROUND((S285*P280+U285*L280+Q285*D280),4)</f>
        <v>3.2450000000000001</v>
      </c>
      <c r="Y285" s="168">
        <f>ROUND((T285*M280+Q285*E280),4)</f>
        <v>4.3999999999999997E-2</v>
      </c>
      <c r="Z285" s="168">
        <f>ROUND((U285*0.9*M280+Q285*E280),4)</f>
        <v>4.4499999999999998E-2</v>
      </c>
      <c r="AA285" s="168">
        <f>ROUND((U285*M280+Q285*E280),4)</f>
        <v>4.4999999999999998E-2</v>
      </c>
      <c r="AB285" s="168">
        <f>ROUND((H280*(V285+Y285)*G280*I280/1000000),5)</f>
        <v>0</v>
      </c>
      <c r="AC285" s="168">
        <f>ROUND((H280*(W285+Z285)*G280*J280/1000000),5)</f>
        <v>3.0000000000000001E-5</v>
      </c>
      <c r="AD285" s="168">
        <f>ROUND((H280*(X285+AA285)*G280*K280/1000000),4)</f>
        <v>2.0000000000000001E-4</v>
      </c>
      <c r="AE285" s="103" t="s">
        <v>213</v>
      </c>
      <c r="AF285" s="104" t="s">
        <v>62</v>
      </c>
      <c r="AG285" s="105">
        <f>ROUND(((X285*F280/3600)),4)</f>
        <v>8.9999999999999998E-4</v>
      </c>
      <c r="AH285" s="105">
        <f>AB285+AC285+AD285</f>
        <v>2.3000000000000001E-4</v>
      </c>
      <c r="AI285" s="61">
        <f>SUM(AG280:AG285)</f>
        <v>6.4899999999999999E-2</v>
      </c>
      <c r="AJ285" s="61">
        <f>SUM(AH280:AH285)</f>
        <v>1.6440000000000003E-2</v>
      </c>
    </row>
    <row r="286" spans="1:38" ht="12.95" customHeight="1" x14ac:dyDescent="0.25">
      <c r="A286" s="1526" t="s">
        <v>147</v>
      </c>
      <c r="B286" s="1246"/>
      <c r="C286" s="1246"/>
      <c r="D286" s="1246"/>
      <c r="E286" s="1246"/>
      <c r="F286" s="1246"/>
      <c r="G286" s="1246"/>
      <c r="H286" s="1246"/>
      <c r="I286" s="1246"/>
      <c r="J286" s="1246"/>
      <c r="K286" s="1246"/>
      <c r="L286" s="1246"/>
      <c r="M286" s="1246"/>
      <c r="N286" s="1246"/>
      <c r="O286" s="1246"/>
      <c r="P286" s="1246"/>
      <c r="Q286" s="1246"/>
      <c r="R286" s="1246"/>
      <c r="S286" s="1246"/>
      <c r="T286" s="1246"/>
      <c r="U286" s="1246"/>
      <c r="V286" s="1246"/>
      <c r="W286" s="1246"/>
      <c r="X286" s="1246"/>
      <c r="Y286" s="1246"/>
      <c r="Z286" s="1246"/>
      <c r="AA286" s="1246"/>
      <c r="AB286" s="1246"/>
      <c r="AC286" s="1246"/>
      <c r="AD286" s="1246"/>
      <c r="AE286" s="1246"/>
      <c r="AF286" s="1246"/>
      <c r="AG286" s="1246"/>
      <c r="AH286" s="1247"/>
      <c r="AI286" s="61">
        <f>SUM(AI137:AI285)</f>
        <v>1.4277999999999995</v>
      </c>
      <c r="AJ286" s="61">
        <f>SUM(AJ137:AJ285)</f>
        <v>0.36168000000000017</v>
      </c>
      <c r="AL286">
        <v>2029</v>
      </c>
    </row>
    <row r="287" spans="1:38" ht="12.95" customHeight="1" x14ac:dyDescent="0.25">
      <c r="A287" s="1522" t="s">
        <v>493</v>
      </c>
      <c r="B287" s="1523"/>
      <c r="C287" s="1523"/>
      <c r="D287" s="1523"/>
      <c r="E287" s="1523"/>
      <c r="F287" s="1523"/>
      <c r="G287" s="1523"/>
      <c r="H287" s="1523"/>
      <c r="I287" s="1523"/>
      <c r="J287" s="1523"/>
      <c r="K287" s="1523"/>
      <c r="L287" s="1523"/>
      <c r="M287" s="1523"/>
      <c r="N287" s="1523"/>
      <c r="O287" s="1523"/>
      <c r="P287" s="1523"/>
      <c r="Q287" s="1523"/>
      <c r="R287" s="1523"/>
      <c r="S287" s="1523"/>
      <c r="T287" s="1524"/>
      <c r="U287" s="1524"/>
      <c r="V287" s="1523"/>
      <c r="W287" s="1523"/>
      <c r="X287" s="1523"/>
      <c r="Y287" s="1523"/>
      <c r="Z287" s="1523"/>
      <c r="AA287" s="1523"/>
      <c r="AB287" s="1523"/>
      <c r="AC287" s="1523"/>
      <c r="AD287" s="1523"/>
      <c r="AE287" s="1523"/>
      <c r="AF287" s="1523"/>
      <c r="AG287" s="1523"/>
      <c r="AH287" s="1525"/>
    </row>
    <row r="288" spans="1:38" ht="12.95" customHeight="1" x14ac:dyDescent="0.25">
      <c r="A288" s="506" t="s">
        <v>467</v>
      </c>
      <c r="B288" s="71" t="s">
        <v>211</v>
      </c>
      <c r="C288" s="1128" t="s">
        <v>444</v>
      </c>
      <c r="D288" s="65">
        <v>1</v>
      </c>
      <c r="E288" s="65">
        <v>1</v>
      </c>
      <c r="F288" s="65">
        <v>1</v>
      </c>
      <c r="G288" s="65">
        <v>1</v>
      </c>
      <c r="H288" s="65">
        <f>ROUND((F288/G288),2)</f>
        <v>1</v>
      </c>
      <c r="I288" s="65">
        <v>180</v>
      </c>
      <c r="J288" s="65">
        <v>90</v>
      </c>
      <c r="K288" s="66">
        <v>95</v>
      </c>
      <c r="L288" s="66">
        <v>0.01</v>
      </c>
      <c r="M288" s="66">
        <v>0.01</v>
      </c>
      <c r="N288" s="65">
        <v>4</v>
      </c>
      <c r="O288" s="65">
        <v>6</v>
      </c>
      <c r="P288" s="65">
        <v>20</v>
      </c>
      <c r="Q288" s="65">
        <v>1</v>
      </c>
      <c r="R288" s="72">
        <v>1</v>
      </c>
      <c r="S288" s="65">
        <v>2</v>
      </c>
      <c r="T288" s="72">
        <v>4</v>
      </c>
      <c r="U288" s="72">
        <v>4</v>
      </c>
      <c r="V288" s="108">
        <f>ROUND((R288*N288+T288*L288+Q288*D288),4)</f>
        <v>5.04</v>
      </c>
      <c r="W288" s="109">
        <f>ROUND((S288*O288+U288*L288+Q288*D288),4)</f>
        <v>13.04</v>
      </c>
      <c r="X288" s="109">
        <f>ROUND((S288*P288+U288*L288+Q288*D288),4)</f>
        <v>41.04</v>
      </c>
      <c r="Y288" s="109">
        <f>ROUND((T288*M288+Q288*E288),4)</f>
        <v>1.04</v>
      </c>
      <c r="Z288" s="109">
        <f>ROUND((U288*M288+Q288*E288),4)</f>
        <v>1.04</v>
      </c>
      <c r="AA288" s="109">
        <f>ROUND((U288*M288+Q288*E288),4)</f>
        <v>1.04</v>
      </c>
      <c r="AB288" s="109">
        <f>ROUND((H288*(V288+Y288)*G288*I288/1000000),4)</f>
        <v>1.1000000000000001E-3</v>
      </c>
      <c r="AC288" s="109">
        <f>ROUND((H288*(W288+Z288)*G288*J288/1000000),4)</f>
        <v>1.2999999999999999E-3</v>
      </c>
      <c r="AD288" s="109">
        <f>ROUND((H288*(X288+AA288)*G288*K288/1000000),4)</f>
        <v>4.0000000000000001E-3</v>
      </c>
      <c r="AE288" s="73" t="s">
        <v>48</v>
      </c>
      <c r="AF288" s="74" t="s">
        <v>49</v>
      </c>
      <c r="AG288" s="75">
        <f>ROUND(((X288*F288/3600)*0.8),4)</f>
        <v>9.1000000000000004E-3</v>
      </c>
      <c r="AH288" s="75">
        <f>ROUND(((AB288+AC288+AD288)*0.8),4)</f>
        <v>5.1000000000000004E-3</v>
      </c>
    </row>
    <row r="289" spans="1:36" ht="12.95" customHeight="1" x14ac:dyDescent="0.25">
      <c r="A289" s="570" t="s">
        <v>166</v>
      </c>
      <c r="B289" s="67" t="s">
        <v>212</v>
      </c>
      <c r="C289" s="1129"/>
      <c r="D289" s="67"/>
      <c r="E289" s="67"/>
      <c r="F289" s="67"/>
      <c r="G289" s="67"/>
      <c r="H289" s="67"/>
      <c r="I289" s="67"/>
      <c r="J289" s="67"/>
      <c r="K289" s="67"/>
      <c r="L289" s="68"/>
      <c r="M289" s="68"/>
      <c r="N289" s="67"/>
      <c r="O289" s="67"/>
      <c r="P289" s="67"/>
      <c r="Q289" s="69"/>
      <c r="R289" s="69"/>
      <c r="S289" s="70"/>
      <c r="T289" s="69"/>
      <c r="U289" s="69"/>
      <c r="V289" s="110"/>
      <c r="W289" s="111"/>
      <c r="X289" s="111"/>
      <c r="Y289" s="111"/>
      <c r="Z289" s="111"/>
      <c r="AA289" s="111"/>
      <c r="AB289" s="111"/>
      <c r="AC289" s="111"/>
      <c r="AD289" s="111"/>
      <c r="AE289" s="73" t="s">
        <v>51</v>
      </c>
      <c r="AF289" s="74" t="s">
        <v>52</v>
      </c>
      <c r="AG289" s="75">
        <f>ROUND(((X288*F288/3600)*0.13),4)</f>
        <v>1.5E-3</v>
      </c>
      <c r="AH289" s="75">
        <f>ROUND(((AB288+AC288+AD288)*0.13),4)</f>
        <v>8.0000000000000004E-4</v>
      </c>
    </row>
    <row r="290" spans="1:36" ht="12.95" customHeight="1" x14ac:dyDescent="0.25">
      <c r="A290" s="571"/>
      <c r="B290" s="76" t="s">
        <v>491</v>
      </c>
      <c r="C290" s="76"/>
      <c r="D290" s="67"/>
      <c r="E290" s="67"/>
      <c r="F290" s="67"/>
      <c r="G290" s="67"/>
      <c r="H290" s="67"/>
      <c r="I290" s="67"/>
      <c r="J290" s="67"/>
      <c r="K290" s="67"/>
      <c r="L290" s="68"/>
      <c r="M290" s="68"/>
      <c r="N290" s="67"/>
      <c r="O290" s="67"/>
      <c r="P290" s="67"/>
      <c r="Q290" s="75">
        <v>0.1</v>
      </c>
      <c r="R290" s="78">
        <v>0.113</v>
      </c>
      <c r="S290" s="79">
        <v>0.13600000000000001</v>
      </c>
      <c r="T290" s="78">
        <v>0.54</v>
      </c>
      <c r="U290" s="78">
        <v>0.67</v>
      </c>
      <c r="V290" s="108">
        <f>ROUND((R290*N288+T290*L288+Q290*D288),4)</f>
        <v>0.55740000000000001</v>
      </c>
      <c r="W290" s="109">
        <f>ROUND((S290*0.9*O288+U290*0.9*L288+Q290*D288),4)</f>
        <v>0.84040000000000004</v>
      </c>
      <c r="X290" s="109">
        <f>ROUND((S290*P288+U290*L288+Q290*D288),4)</f>
        <v>2.8267000000000002</v>
      </c>
      <c r="Y290" s="109">
        <f>ROUND((T290*M288+Q290*E288),4)</f>
        <v>0.10539999999999999</v>
      </c>
      <c r="Z290" s="109">
        <f>ROUND((U290*0.9*M288+Q290*E288),4)</f>
        <v>0.106</v>
      </c>
      <c r="AA290" s="109">
        <f>ROUND((U290*M288+Q290*E288),4)</f>
        <v>0.1067</v>
      </c>
      <c r="AB290" s="109">
        <f>ROUND((H288*(V290+Y290)*G288*I288/1000000),5)</f>
        <v>1.2E-4</v>
      </c>
      <c r="AC290" s="109">
        <f>ROUND((H288*(W290+Z290)*G288*J288/1000000),5)</f>
        <v>9.0000000000000006E-5</v>
      </c>
      <c r="AD290" s="109">
        <f>ROUND((H288*(X290+AA290)*G288*K288/1000000),5)</f>
        <v>2.7999999999999998E-4</v>
      </c>
      <c r="AE290" s="73" t="s">
        <v>56</v>
      </c>
      <c r="AF290" s="74" t="s">
        <v>57</v>
      </c>
      <c r="AG290" s="75">
        <f>ROUND(((X290*F288/3600)),4)</f>
        <v>8.0000000000000004E-4</v>
      </c>
      <c r="AH290" s="75">
        <f>AB290+AC290+AD290</f>
        <v>4.8999999999999998E-4</v>
      </c>
    </row>
    <row r="291" spans="1:36" ht="12.95" customHeight="1" x14ac:dyDescent="0.25">
      <c r="A291" s="571"/>
      <c r="B291" s="132"/>
      <c r="C291" s="67"/>
      <c r="D291" s="67"/>
      <c r="E291" s="67"/>
      <c r="F291" s="67"/>
      <c r="G291" s="67"/>
      <c r="H291" s="67"/>
      <c r="I291" s="67"/>
      <c r="J291" s="67"/>
      <c r="K291" s="67"/>
      <c r="L291" s="68"/>
      <c r="M291" s="68"/>
      <c r="N291" s="67"/>
      <c r="O291" s="67"/>
      <c r="P291" s="67"/>
      <c r="Q291" s="75">
        <v>0.45</v>
      </c>
      <c r="R291" s="78">
        <v>0.4</v>
      </c>
      <c r="S291" s="75">
        <v>1.1000000000000001</v>
      </c>
      <c r="T291" s="78">
        <v>1</v>
      </c>
      <c r="U291" s="78">
        <v>1.2</v>
      </c>
      <c r="V291" s="108">
        <f>ROUND((R291*N288+T291*L288+Q291*D288),4)</f>
        <v>2.06</v>
      </c>
      <c r="W291" s="109">
        <f>ROUND((S291*0.9*O288+U291*0.9*L288+Q291*D288),4)</f>
        <v>6.4008000000000003</v>
      </c>
      <c r="X291" s="109">
        <f>ROUND((S291*P288+U291*L288+Q291*D288),4)</f>
        <v>22.462</v>
      </c>
      <c r="Y291" s="109">
        <f>ROUND((T291*M288+Q291*E288),4)</f>
        <v>0.46</v>
      </c>
      <c r="Z291" s="109">
        <f>ROUND((U291*0.9*M288+Q291*E288),4)</f>
        <v>0.46079999999999999</v>
      </c>
      <c r="AA291" s="109">
        <f>ROUND((U291*M288+Q291*E288),4)</f>
        <v>0.46200000000000002</v>
      </c>
      <c r="AB291" s="109">
        <f>ROUND((H288*(V291+Y291)*G288*I288/1000000),4)</f>
        <v>5.0000000000000001E-4</v>
      </c>
      <c r="AC291" s="109">
        <f>ROUND((H288*(W291+Z291)*G288*J288/1000000),4)</f>
        <v>5.9999999999999995E-4</v>
      </c>
      <c r="AD291" s="109">
        <f>ROUND((H288*(X291+AA291)*G288*K288/1000000),4)</f>
        <v>2.2000000000000001E-3</v>
      </c>
      <c r="AE291" s="73" t="s">
        <v>177</v>
      </c>
      <c r="AF291" s="74" t="s">
        <v>178</v>
      </c>
      <c r="AG291" s="75">
        <f>ROUND(((X291*F288/3600)),4)</f>
        <v>6.1999999999999998E-3</v>
      </c>
      <c r="AH291" s="75">
        <f>AB291+AC291+AD291</f>
        <v>3.3E-3</v>
      </c>
    </row>
    <row r="292" spans="1:36" ht="12.95" customHeight="1" x14ac:dyDescent="0.25">
      <c r="A292" s="572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8"/>
      <c r="M292" s="68"/>
      <c r="N292" s="67"/>
      <c r="O292" s="67"/>
      <c r="P292" s="67"/>
      <c r="Q292" s="75">
        <v>2.9</v>
      </c>
      <c r="R292" s="78">
        <v>3</v>
      </c>
      <c r="S292" s="75">
        <v>8.1999999999999993</v>
      </c>
      <c r="T292" s="78">
        <v>6.1</v>
      </c>
      <c r="U292" s="78">
        <v>7.4</v>
      </c>
      <c r="V292" s="167">
        <f>ROUND((R292*N288+T292*L288+Q292*D288),4)</f>
        <v>14.961</v>
      </c>
      <c r="W292" s="168">
        <f>ROUND((S292*0.9*O288+U292*0.9*L288+Q292*D288),4)</f>
        <v>47.246600000000001</v>
      </c>
      <c r="X292" s="168">
        <f>ROUND((S292*P288+U292*L288+Q292*D288),4)</f>
        <v>166.97399999999999</v>
      </c>
      <c r="Y292" s="168">
        <f>ROUND((T292*M288+Q292*E288),4)</f>
        <v>2.9609999999999999</v>
      </c>
      <c r="Z292" s="168">
        <f>ROUND((U292*0.9*M288+Q292*E288),4)</f>
        <v>2.9666000000000001</v>
      </c>
      <c r="AA292" s="168">
        <f>ROUND((U292*M288+Q292*E288),4)</f>
        <v>2.9740000000000002</v>
      </c>
      <c r="AB292" s="168">
        <f>ROUND((H288*(V292+Y292)*G288*I288/1000000),4)</f>
        <v>3.2000000000000002E-3</v>
      </c>
      <c r="AC292" s="168">
        <f>ROUND((H288*(W292+Z292)*G288*J288/1000000),4)</f>
        <v>4.4999999999999997E-3</v>
      </c>
      <c r="AD292" s="168">
        <f>ROUND((H288*(X292+AA292)*G288*K288/1000000),4)</f>
        <v>1.61E-2</v>
      </c>
      <c r="AE292" s="73" t="s">
        <v>65</v>
      </c>
      <c r="AF292" s="74" t="s">
        <v>66</v>
      </c>
      <c r="AG292" s="75">
        <f>ROUND(((X292*F288/3600)),4)</f>
        <v>4.6399999999999997E-2</v>
      </c>
      <c r="AH292" s="75">
        <f>AB292+AC292+AD292</f>
        <v>2.3800000000000002E-2</v>
      </c>
    </row>
    <row r="293" spans="1:36" ht="12.95" customHeight="1" x14ac:dyDescent="0.25">
      <c r="A293" s="573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70"/>
      <c r="M293" s="70"/>
      <c r="N293" s="69"/>
      <c r="O293" s="69"/>
      <c r="P293" s="69"/>
      <c r="Q293" s="75">
        <v>0.04</v>
      </c>
      <c r="R293" s="78">
        <v>0.04</v>
      </c>
      <c r="S293" s="75">
        <v>0.16</v>
      </c>
      <c r="T293" s="78">
        <v>0.3</v>
      </c>
      <c r="U293" s="78">
        <v>0.4</v>
      </c>
      <c r="V293" s="167">
        <f>ROUND((R293*N288+T293*L288+Q293*D288),4)</f>
        <v>0.20300000000000001</v>
      </c>
      <c r="W293" s="168">
        <f>ROUND((S293*0.9*O288+U293*0.9*L288+Q293*D288),4)</f>
        <v>0.90759999999999996</v>
      </c>
      <c r="X293" s="168">
        <f>ROUND((S293*P288+U293*L288+Q293*D288),4)</f>
        <v>3.2440000000000002</v>
      </c>
      <c r="Y293" s="168">
        <f>ROUND((T293*M288+Q293*E288),4)</f>
        <v>4.2999999999999997E-2</v>
      </c>
      <c r="Z293" s="168">
        <f>ROUND((U293*0.9*M288+Q293*E288),4)</f>
        <v>4.36E-2</v>
      </c>
      <c r="AA293" s="168">
        <f>ROUND((U293*M288+Q293*E288),4)</f>
        <v>4.3999999999999997E-2</v>
      </c>
      <c r="AB293" s="168">
        <f>ROUND((H288*(V293+Y293)*G288*I288/1000000),5)</f>
        <v>4.0000000000000003E-5</v>
      </c>
      <c r="AC293" s="168">
        <f>ROUND((H288*(W293+Z293)*G288*J288/1000000),5)</f>
        <v>9.0000000000000006E-5</v>
      </c>
      <c r="AD293" s="168">
        <f>ROUND((H288*(X293+AA293)*G288*K288/1000000),4)</f>
        <v>2.9999999999999997E-4</v>
      </c>
      <c r="AE293" s="73" t="s">
        <v>213</v>
      </c>
      <c r="AF293" s="74" t="s">
        <v>62</v>
      </c>
      <c r="AG293" s="75">
        <f>ROUND(((X293*F288/3600)),4)</f>
        <v>8.9999999999999998E-4</v>
      </c>
      <c r="AH293" s="75">
        <f>AB293+AC293+AD293</f>
        <v>4.2999999999999999E-4</v>
      </c>
      <c r="AI293" s="61">
        <f>SUM(AG288:AG293)</f>
        <v>6.4899999999999999E-2</v>
      </c>
      <c r="AJ293" s="61">
        <f>SUM(AH288:AH293)</f>
        <v>3.3920000000000006E-2</v>
      </c>
    </row>
    <row r="294" spans="1:36" ht="12.95" customHeight="1" x14ac:dyDescent="0.25">
      <c r="A294" s="1522" t="s">
        <v>494</v>
      </c>
      <c r="B294" s="1523"/>
      <c r="C294" s="1523"/>
      <c r="D294" s="1523"/>
      <c r="E294" s="1523"/>
      <c r="F294" s="1523"/>
      <c r="G294" s="1523"/>
      <c r="H294" s="1523"/>
      <c r="I294" s="1523"/>
      <c r="J294" s="1523"/>
      <c r="K294" s="1523"/>
      <c r="L294" s="1523"/>
      <c r="M294" s="1523"/>
      <c r="N294" s="1523"/>
      <c r="O294" s="1523"/>
      <c r="P294" s="1523"/>
      <c r="Q294" s="1523"/>
      <c r="R294" s="1523"/>
      <c r="S294" s="1523"/>
      <c r="T294" s="1524"/>
      <c r="U294" s="1524"/>
      <c r="V294" s="1523"/>
      <c r="W294" s="1523"/>
      <c r="X294" s="1523"/>
      <c r="Y294" s="1523"/>
      <c r="Z294" s="1523"/>
      <c r="AA294" s="1523"/>
      <c r="AB294" s="1523"/>
      <c r="AC294" s="1523"/>
      <c r="AD294" s="1523"/>
      <c r="AE294" s="1523"/>
      <c r="AF294" s="1523"/>
      <c r="AG294" s="1523"/>
      <c r="AH294" s="1525"/>
    </row>
    <row r="295" spans="1:36" ht="12.95" customHeight="1" x14ac:dyDescent="0.25">
      <c r="A295" s="506" t="s">
        <v>470</v>
      </c>
      <c r="B295" s="71" t="s">
        <v>211</v>
      </c>
      <c r="C295" s="1128" t="s">
        <v>444</v>
      </c>
      <c r="D295" s="65">
        <v>1</v>
      </c>
      <c r="E295" s="65">
        <v>1</v>
      </c>
      <c r="F295" s="65">
        <v>1</v>
      </c>
      <c r="G295" s="65">
        <v>1</v>
      </c>
      <c r="H295" s="65">
        <f>ROUND((F295/G295),2)</f>
        <v>1</v>
      </c>
      <c r="I295" s="65">
        <v>180</v>
      </c>
      <c r="J295" s="65">
        <v>90</v>
      </c>
      <c r="K295" s="66">
        <v>95</v>
      </c>
      <c r="L295" s="66">
        <v>0.01</v>
      </c>
      <c r="M295" s="66">
        <v>0.01</v>
      </c>
      <c r="N295" s="65">
        <v>4</v>
      </c>
      <c r="O295" s="65">
        <v>6</v>
      </c>
      <c r="P295" s="65">
        <v>20</v>
      </c>
      <c r="Q295" s="65">
        <v>1</v>
      </c>
      <c r="R295" s="72">
        <v>1</v>
      </c>
      <c r="S295" s="65">
        <v>2</v>
      </c>
      <c r="T295" s="72">
        <v>4</v>
      </c>
      <c r="U295" s="72">
        <v>4</v>
      </c>
      <c r="V295" s="108">
        <f>ROUND((R295*N295+T295*L295+Q295*D295),4)</f>
        <v>5.04</v>
      </c>
      <c r="W295" s="109">
        <f>ROUND((S295*O295+U295*L295+Q295*D295),4)</f>
        <v>13.04</v>
      </c>
      <c r="X295" s="109">
        <f>ROUND((S295*P295+U295*L295+Q295*D295),4)</f>
        <v>41.04</v>
      </c>
      <c r="Y295" s="109">
        <f>ROUND((T295*M295+Q295*E295),4)</f>
        <v>1.04</v>
      </c>
      <c r="Z295" s="109">
        <f>ROUND((U295*M295+Q295*E295),4)</f>
        <v>1.04</v>
      </c>
      <c r="AA295" s="109">
        <f>ROUND((U295*M295+Q295*E295),4)</f>
        <v>1.04</v>
      </c>
      <c r="AB295" s="109">
        <f>ROUND((H295*(V295+Y295)*G295*I295/1000000),4)</f>
        <v>1.1000000000000001E-3</v>
      </c>
      <c r="AC295" s="109">
        <f>ROUND((H295*(W295+Z295)*G295*J295/1000000),4)</f>
        <v>1.2999999999999999E-3</v>
      </c>
      <c r="AD295" s="109">
        <f>ROUND((H295*(X295+AA295)*G295*K295/1000000),4)</f>
        <v>4.0000000000000001E-3</v>
      </c>
      <c r="AE295" s="73" t="s">
        <v>48</v>
      </c>
      <c r="AF295" s="74" t="s">
        <v>49</v>
      </c>
      <c r="AG295" s="75">
        <f>ROUND(((X295*F295/3600)*0.8),4)</f>
        <v>9.1000000000000004E-3</v>
      </c>
      <c r="AH295" s="75">
        <f>ROUND(((AB295+AC295+AD295)*0.8),4)</f>
        <v>5.1000000000000004E-3</v>
      </c>
    </row>
    <row r="296" spans="1:36" ht="12.95" customHeight="1" x14ac:dyDescent="0.25">
      <c r="A296" s="570" t="s">
        <v>166</v>
      </c>
      <c r="B296" s="67" t="s">
        <v>212</v>
      </c>
      <c r="C296" s="1129"/>
      <c r="D296" s="67"/>
      <c r="E296" s="67"/>
      <c r="F296" s="67"/>
      <c r="G296" s="67"/>
      <c r="H296" s="67"/>
      <c r="I296" s="67"/>
      <c r="J296" s="67"/>
      <c r="K296" s="67"/>
      <c r="L296" s="68"/>
      <c r="M296" s="68"/>
      <c r="N296" s="67"/>
      <c r="O296" s="67"/>
      <c r="P296" s="67"/>
      <c r="Q296" s="69"/>
      <c r="R296" s="69"/>
      <c r="S296" s="70"/>
      <c r="T296" s="69"/>
      <c r="U296" s="69"/>
      <c r="V296" s="110"/>
      <c r="W296" s="111"/>
      <c r="X296" s="111"/>
      <c r="Y296" s="111"/>
      <c r="Z296" s="111"/>
      <c r="AA296" s="111"/>
      <c r="AB296" s="111"/>
      <c r="AC296" s="111"/>
      <c r="AD296" s="111"/>
      <c r="AE296" s="73" t="s">
        <v>51</v>
      </c>
      <c r="AF296" s="74" t="s">
        <v>52</v>
      </c>
      <c r="AG296" s="75">
        <f>ROUND(((X295*F295/3600)*0.13),4)</f>
        <v>1.5E-3</v>
      </c>
      <c r="AH296" s="75">
        <f>ROUND(((AB295+AC295+AD295)*0.13),4)</f>
        <v>8.0000000000000004E-4</v>
      </c>
    </row>
    <row r="297" spans="1:36" ht="12.95" customHeight="1" x14ac:dyDescent="0.25">
      <c r="A297" s="571"/>
      <c r="B297" s="76" t="s">
        <v>491</v>
      </c>
      <c r="C297" s="76"/>
      <c r="D297" s="67"/>
      <c r="E297" s="67"/>
      <c r="F297" s="67"/>
      <c r="G297" s="67"/>
      <c r="H297" s="67"/>
      <c r="I297" s="67"/>
      <c r="J297" s="67"/>
      <c r="K297" s="67"/>
      <c r="L297" s="68"/>
      <c r="M297" s="68"/>
      <c r="N297" s="67"/>
      <c r="O297" s="67"/>
      <c r="P297" s="67"/>
      <c r="Q297" s="75">
        <v>0.1</v>
      </c>
      <c r="R297" s="78">
        <v>0.113</v>
      </c>
      <c r="S297" s="79">
        <v>0.13600000000000001</v>
      </c>
      <c r="T297" s="78">
        <v>0.54</v>
      </c>
      <c r="U297" s="78">
        <v>0.67</v>
      </c>
      <c r="V297" s="108">
        <f>ROUND((R297*N295+T297*L295+Q297*D295),4)</f>
        <v>0.55740000000000001</v>
      </c>
      <c r="W297" s="109">
        <f>ROUND((S297*0.9*O295+U297*0.9*L295+Q297*D295),4)</f>
        <v>0.84040000000000004</v>
      </c>
      <c r="X297" s="109">
        <f>ROUND((S297*P295+U297*L295+Q297*D295),4)</f>
        <v>2.8267000000000002</v>
      </c>
      <c r="Y297" s="109">
        <f>ROUND((T297*M295+Q297*E295),4)</f>
        <v>0.10539999999999999</v>
      </c>
      <c r="Z297" s="109">
        <f>ROUND((U297*0.9*M295+Q297*E295),4)</f>
        <v>0.106</v>
      </c>
      <c r="AA297" s="109">
        <f>ROUND((U297*M295+Q297*E295),4)</f>
        <v>0.1067</v>
      </c>
      <c r="AB297" s="109">
        <f>ROUND((H295*(V297+Y297)*G295*I295/1000000),5)</f>
        <v>1.2E-4</v>
      </c>
      <c r="AC297" s="109">
        <f>ROUND((H295*(W297+Z297)*G295*J295/1000000),5)</f>
        <v>9.0000000000000006E-5</v>
      </c>
      <c r="AD297" s="109">
        <f>ROUND((H295*(X297+AA297)*G295*K295/1000000),5)</f>
        <v>2.7999999999999998E-4</v>
      </c>
      <c r="AE297" s="73" t="s">
        <v>56</v>
      </c>
      <c r="AF297" s="74" t="s">
        <v>57</v>
      </c>
      <c r="AG297" s="75">
        <f>ROUND(((X297*F295/3600)),4)</f>
        <v>8.0000000000000004E-4</v>
      </c>
      <c r="AH297" s="75">
        <f>AB297+AC297+AD297</f>
        <v>4.8999999999999998E-4</v>
      </c>
    </row>
    <row r="298" spans="1:36" ht="12.95" customHeight="1" x14ac:dyDescent="0.25">
      <c r="A298" s="571"/>
      <c r="B298" s="132"/>
      <c r="C298" s="67"/>
      <c r="D298" s="67"/>
      <c r="E298" s="67"/>
      <c r="F298" s="67"/>
      <c r="G298" s="67"/>
      <c r="H298" s="67"/>
      <c r="I298" s="67"/>
      <c r="J298" s="67"/>
      <c r="K298" s="67"/>
      <c r="L298" s="68"/>
      <c r="M298" s="68"/>
      <c r="N298" s="67"/>
      <c r="O298" s="67"/>
      <c r="P298" s="67"/>
      <c r="Q298" s="75">
        <v>0.45</v>
      </c>
      <c r="R298" s="78">
        <v>0.4</v>
      </c>
      <c r="S298" s="75">
        <v>1.1000000000000001</v>
      </c>
      <c r="T298" s="78">
        <v>1</v>
      </c>
      <c r="U298" s="78">
        <v>1.2</v>
      </c>
      <c r="V298" s="108">
        <f>ROUND((R298*N295+T298*L295+Q298*D295),4)</f>
        <v>2.06</v>
      </c>
      <c r="W298" s="109">
        <f>ROUND((S298*0.9*O295+U298*0.9*L295+Q298*D295),4)</f>
        <v>6.4008000000000003</v>
      </c>
      <c r="X298" s="109">
        <f>ROUND((S298*P295+U298*L295+Q298*D295),4)</f>
        <v>22.462</v>
      </c>
      <c r="Y298" s="109">
        <f>ROUND((T298*M295+Q298*E295),4)</f>
        <v>0.46</v>
      </c>
      <c r="Z298" s="109">
        <f>ROUND((U298*0.9*M295+Q298*E295),4)</f>
        <v>0.46079999999999999</v>
      </c>
      <c r="AA298" s="109">
        <f>ROUND((U298*M295+Q298*E295),4)</f>
        <v>0.46200000000000002</v>
      </c>
      <c r="AB298" s="109">
        <f>ROUND((H295*(V298+Y298)*G295*I295/1000000),4)</f>
        <v>5.0000000000000001E-4</v>
      </c>
      <c r="AC298" s="109">
        <f>ROUND((H295*(W298+Z298)*G295*J295/1000000),4)</f>
        <v>5.9999999999999995E-4</v>
      </c>
      <c r="AD298" s="109">
        <f>ROUND((H295*(X298+AA298)*G295*K295/1000000),4)</f>
        <v>2.2000000000000001E-3</v>
      </c>
      <c r="AE298" s="73" t="s">
        <v>177</v>
      </c>
      <c r="AF298" s="74" t="s">
        <v>178</v>
      </c>
      <c r="AG298" s="75">
        <f>ROUND(((X298*F295/3600)),4)</f>
        <v>6.1999999999999998E-3</v>
      </c>
      <c r="AH298" s="75">
        <f>AB298+AC298+AD298</f>
        <v>3.3E-3</v>
      </c>
    </row>
    <row r="299" spans="1:36" ht="12.95" customHeight="1" x14ac:dyDescent="0.25">
      <c r="A299" s="572"/>
      <c r="B299" s="67"/>
      <c r="C299" s="67"/>
      <c r="D299" s="67"/>
      <c r="E299" s="67"/>
      <c r="F299" s="67"/>
      <c r="G299" s="67"/>
      <c r="H299" s="67"/>
      <c r="I299" s="67"/>
      <c r="J299" s="67"/>
      <c r="K299" s="67"/>
      <c r="L299" s="68"/>
      <c r="M299" s="68"/>
      <c r="N299" s="67"/>
      <c r="O299" s="67"/>
      <c r="P299" s="67"/>
      <c r="Q299" s="75">
        <v>2.9</v>
      </c>
      <c r="R299" s="78">
        <v>3</v>
      </c>
      <c r="S299" s="75">
        <v>8.1999999999999993</v>
      </c>
      <c r="T299" s="78">
        <v>6.1</v>
      </c>
      <c r="U299" s="78">
        <v>7.4</v>
      </c>
      <c r="V299" s="167">
        <f>ROUND((R299*N295+T299*L295+Q299*D295),4)</f>
        <v>14.961</v>
      </c>
      <c r="W299" s="168">
        <f>ROUND((S299*0.9*O295+U299*0.9*L295+Q299*D295),4)</f>
        <v>47.246600000000001</v>
      </c>
      <c r="X299" s="168">
        <f>ROUND((S299*P295+U299*L295+Q299*D295),4)</f>
        <v>166.97399999999999</v>
      </c>
      <c r="Y299" s="168">
        <f>ROUND((T299*M295+Q299*E295),4)</f>
        <v>2.9609999999999999</v>
      </c>
      <c r="Z299" s="168">
        <f>ROUND((U299*0.9*M295+Q299*E295),4)</f>
        <v>2.9666000000000001</v>
      </c>
      <c r="AA299" s="168">
        <f>ROUND((U299*M295+Q299*E295),4)</f>
        <v>2.9740000000000002</v>
      </c>
      <c r="AB299" s="168">
        <f>ROUND((H295*(V299+Y299)*G295*I295/1000000),4)</f>
        <v>3.2000000000000002E-3</v>
      </c>
      <c r="AC299" s="168">
        <f>ROUND((H295*(W299+Z299)*G295*J295/1000000),4)</f>
        <v>4.4999999999999997E-3</v>
      </c>
      <c r="AD299" s="168">
        <f>ROUND((H295*(X299+AA299)*G295*K295/1000000),4)</f>
        <v>1.61E-2</v>
      </c>
      <c r="AE299" s="73" t="s">
        <v>65</v>
      </c>
      <c r="AF299" s="74" t="s">
        <v>66</v>
      </c>
      <c r="AG299" s="75">
        <f>ROUND(((X299*F295/3600)),4)</f>
        <v>4.6399999999999997E-2</v>
      </c>
      <c r="AH299" s="75">
        <f>AB299+AC299+AD299</f>
        <v>2.3800000000000002E-2</v>
      </c>
    </row>
    <row r="300" spans="1:36" ht="12.95" customHeight="1" x14ac:dyDescent="0.25">
      <c r="A300" s="573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70"/>
      <c r="M300" s="70"/>
      <c r="N300" s="69"/>
      <c r="O300" s="69"/>
      <c r="P300" s="69"/>
      <c r="Q300" s="75">
        <v>0.04</v>
      </c>
      <c r="R300" s="78">
        <v>0.04</v>
      </c>
      <c r="S300" s="75">
        <v>0.16</v>
      </c>
      <c r="T300" s="78">
        <v>0.3</v>
      </c>
      <c r="U300" s="78">
        <v>0.4</v>
      </c>
      <c r="V300" s="167">
        <f>ROUND((R300*N295+T300*L295+Q300*D295),4)</f>
        <v>0.20300000000000001</v>
      </c>
      <c r="W300" s="168">
        <f>ROUND((S300*0.9*O295+U300*0.9*L295+Q300*D295),4)</f>
        <v>0.90759999999999996</v>
      </c>
      <c r="X300" s="168">
        <f>ROUND((S300*P295+U300*L295+Q300*D295),4)</f>
        <v>3.2440000000000002</v>
      </c>
      <c r="Y300" s="168">
        <f>ROUND((T300*M295+Q300*E295),4)</f>
        <v>4.2999999999999997E-2</v>
      </c>
      <c r="Z300" s="168">
        <f>ROUND((U300*0.9*M295+Q300*E295),4)</f>
        <v>4.36E-2</v>
      </c>
      <c r="AA300" s="168">
        <f>ROUND((U300*M295+Q300*E295),4)</f>
        <v>4.3999999999999997E-2</v>
      </c>
      <c r="AB300" s="168">
        <f>ROUND((H295*(V300+Y300)*G295*I295/1000000),5)</f>
        <v>4.0000000000000003E-5</v>
      </c>
      <c r="AC300" s="168">
        <f>ROUND((H295*(W300+Z300)*G295*J295/1000000),5)</f>
        <v>9.0000000000000006E-5</v>
      </c>
      <c r="AD300" s="168">
        <f>ROUND((H295*(X300+AA300)*G295*K295/1000000),4)</f>
        <v>2.9999999999999997E-4</v>
      </c>
      <c r="AE300" s="73" t="s">
        <v>213</v>
      </c>
      <c r="AF300" s="74" t="s">
        <v>62</v>
      </c>
      <c r="AG300" s="75">
        <f>ROUND(((X300*F295/3600)),4)</f>
        <v>8.9999999999999998E-4</v>
      </c>
      <c r="AH300" s="75">
        <f>AB300+AC300+AD300</f>
        <v>4.2999999999999999E-4</v>
      </c>
      <c r="AI300" s="61">
        <f>SUM(AG295:AG300)</f>
        <v>6.4899999999999999E-2</v>
      </c>
      <c r="AJ300" s="61">
        <f>SUM(AH295:AH300)</f>
        <v>3.3920000000000006E-2</v>
      </c>
    </row>
    <row r="301" spans="1:36" ht="12.95" customHeight="1" x14ac:dyDescent="0.25">
      <c r="A301" s="1522" t="s">
        <v>495</v>
      </c>
      <c r="B301" s="1523"/>
      <c r="C301" s="1523"/>
      <c r="D301" s="1523"/>
      <c r="E301" s="1523"/>
      <c r="F301" s="1523"/>
      <c r="G301" s="1523"/>
      <c r="H301" s="1523"/>
      <c r="I301" s="1523"/>
      <c r="J301" s="1523"/>
      <c r="K301" s="1523"/>
      <c r="L301" s="1523"/>
      <c r="M301" s="1523"/>
      <c r="N301" s="1523"/>
      <c r="O301" s="1523"/>
      <c r="P301" s="1523"/>
      <c r="Q301" s="1523"/>
      <c r="R301" s="1523"/>
      <c r="S301" s="1523"/>
      <c r="T301" s="1524"/>
      <c r="U301" s="1524"/>
      <c r="V301" s="1523"/>
      <c r="W301" s="1523"/>
      <c r="X301" s="1523"/>
      <c r="Y301" s="1523"/>
      <c r="Z301" s="1523"/>
      <c r="AA301" s="1523"/>
      <c r="AB301" s="1523"/>
      <c r="AC301" s="1523"/>
      <c r="AD301" s="1523"/>
      <c r="AE301" s="1523"/>
      <c r="AF301" s="1523"/>
      <c r="AG301" s="1523"/>
      <c r="AH301" s="1525"/>
    </row>
    <row r="302" spans="1:36" ht="12.95" customHeight="1" x14ac:dyDescent="0.25">
      <c r="A302" s="506" t="s">
        <v>472</v>
      </c>
      <c r="B302" s="71" t="s">
        <v>211</v>
      </c>
      <c r="C302" s="1128" t="s">
        <v>444</v>
      </c>
      <c r="D302" s="65">
        <v>1</v>
      </c>
      <c r="E302" s="65">
        <v>1</v>
      </c>
      <c r="F302" s="65">
        <v>1</v>
      </c>
      <c r="G302" s="65">
        <v>1</v>
      </c>
      <c r="H302" s="65">
        <f>ROUND((F302/G302),2)</f>
        <v>1</v>
      </c>
      <c r="I302" s="65">
        <v>180</v>
      </c>
      <c r="J302" s="65">
        <v>90</v>
      </c>
      <c r="K302" s="66">
        <v>95</v>
      </c>
      <c r="L302" s="66">
        <v>0.01</v>
      </c>
      <c r="M302" s="66">
        <v>0.01</v>
      </c>
      <c r="N302" s="65">
        <v>4</v>
      </c>
      <c r="O302" s="65">
        <v>6</v>
      </c>
      <c r="P302" s="65">
        <v>20</v>
      </c>
      <c r="Q302" s="65">
        <v>1</v>
      </c>
      <c r="R302" s="72">
        <v>1</v>
      </c>
      <c r="S302" s="65">
        <v>2</v>
      </c>
      <c r="T302" s="72">
        <v>4</v>
      </c>
      <c r="U302" s="72">
        <v>4</v>
      </c>
      <c r="V302" s="108">
        <f>ROUND((R302*N302+T302*L302+Q302*D302),4)</f>
        <v>5.04</v>
      </c>
      <c r="W302" s="109">
        <f>ROUND((S302*O302+U302*L302+Q302*D302),4)</f>
        <v>13.04</v>
      </c>
      <c r="X302" s="109">
        <f>ROUND((S302*P302+U302*L302+Q302*D302),4)</f>
        <v>41.04</v>
      </c>
      <c r="Y302" s="109">
        <f>ROUND((T302*M302+Q302*E302),4)</f>
        <v>1.04</v>
      </c>
      <c r="Z302" s="109">
        <f>ROUND((U302*M302+Q302*E302),4)</f>
        <v>1.04</v>
      </c>
      <c r="AA302" s="109">
        <f>ROUND((U302*M302+Q302*E302),4)</f>
        <v>1.04</v>
      </c>
      <c r="AB302" s="109">
        <f>ROUND((H302*(V302+Y302)*G302*I302/1000000),4)</f>
        <v>1.1000000000000001E-3</v>
      </c>
      <c r="AC302" s="109">
        <f>ROUND((H302*(W302+Z302)*G302*J302/1000000),4)</f>
        <v>1.2999999999999999E-3</v>
      </c>
      <c r="AD302" s="109">
        <f>ROUND((H302*(X302+AA302)*G302*K302/1000000),4)</f>
        <v>4.0000000000000001E-3</v>
      </c>
      <c r="AE302" s="73" t="s">
        <v>48</v>
      </c>
      <c r="AF302" s="74" t="s">
        <v>49</v>
      </c>
      <c r="AG302" s="75">
        <f>ROUND(((X302*F302/3600)*0.8),4)</f>
        <v>9.1000000000000004E-3</v>
      </c>
      <c r="AH302" s="75">
        <f>ROUND(((AB302+AC302+AD302)*0.8),4)</f>
        <v>5.1000000000000004E-3</v>
      </c>
    </row>
    <row r="303" spans="1:36" ht="12.95" customHeight="1" x14ac:dyDescent="0.25">
      <c r="A303" s="570" t="s">
        <v>166</v>
      </c>
      <c r="B303" s="67" t="s">
        <v>212</v>
      </c>
      <c r="C303" s="1129"/>
      <c r="D303" s="67"/>
      <c r="E303" s="67"/>
      <c r="F303" s="67"/>
      <c r="G303" s="67"/>
      <c r="H303" s="67"/>
      <c r="I303" s="67"/>
      <c r="J303" s="67"/>
      <c r="K303" s="67"/>
      <c r="L303" s="68"/>
      <c r="M303" s="68"/>
      <c r="N303" s="67"/>
      <c r="O303" s="67"/>
      <c r="P303" s="67"/>
      <c r="Q303" s="69"/>
      <c r="R303" s="69"/>
      <c r="S303" s="70"/>
      <c r="T303" s="69"/>
      <c r="U303" s="69"/>
      <c r="V303" s="110"/>
      <c r="W303" s="111"/>
      <c r="X303" s="111"/>
      <c r="Y303" s="111"/>
      <c r="Z303" s="111"/>
      <c r="AA303" s="111"/>
      <c r="AB303" s="111"/>
      <c r="AC303" s="111"/>
      <c r="AD303" s="111"/>
      <c r="AE303" s="73" t="s">
        <v>51</v>
      </c>
      <c r="AF303" s="74" t="s">
        <v>52</v>
      </c>
      <c r="AG303" s="75">
        <f>ROUND(((X302*F302/3600)*0.13),4)</f>
        <v>1.5E-3</v>
      </c>
      <c r="AH303" s="75">
        <f>ROUND(((AB302+AC302+AD302)*0.13),4)</f>
        <v>8.0000000000000004E-4</v>
      </c>
    </row>
    <row r="304" spans="1:36" ht="12.95" customHeight="1" x14ac:dyDescent="0.25">
      <c r="A304" s="571"/>
      <c r="B304" s="76" t="s">
        <v>491</v>
      </c>
      <c r="C304" s="76"/>
      <c r="D304" s="67"/>
      <c r="E304" s="67"/>
      <c r="F304" s="67"/>
      <c r="G304" s="67"/>
      <c r="H304" s="67"/>
      <c r="I304" s="67"/>
      <c r="J304" s="67"/>
      <c r="K304" s="67"/>
      <c r="L304" s="68"/>
      <c r="M304" s="68"/>
      <c r="N304" s="67"/>
      <c r="O304" s="67"/>
      <c r="P304" s="67"/>
      <c r="Q304" s="75">
        <v>0.1</v>
      </c>
      <c r="R304" s="78">
        <v>0.113</v>
      </c>
      <c r="S304" s="79">
        <v>0.13600000000000001</v>
      </c>
      <c r="T304" s="78">
        <v>0.54</v>
      </c>
      <c r="U304" s="78">
        <v>0.67</v>
      </c>
      <c r="V304" s="108">
        <f>ROUND((R304*N302+T304*L302+Q304*D302),4)</f>
        <v>0.55740000000000001</v>
      </c>
      <c r="W304" s="109">
        <f>ROUND((S304*0.9*O302+U304*0.9*L302+Q304*D302),4)</f>
        <v>0.84040000000000004</v>
      </c>
      <c r="X304" s="109">
        <f>ROUND((S304*P302+U304*L302+Q304*D302),4)</f>
        <v>2.8267000000000002</v>
      </c>
      <c r="Y304" s="109">
        <f>ROUND((T304*M302+Q304*E302),4)</f>
        <v>0.10539999999999999</v>
      </c>
      <c r="Z304" s="109">
        <f>ROUND((U304*0.9*M302+Q304*E302),4)</f>
        <v>0.106</v>
      </c>
      <c r="AA304" s="109">
        <f>ROUND((U304*M302+Q304*E302),4)</f>
        <v>0.1067</v>
      </c>
      <c r="AB304" s="109">
        <f>ROUND((H302*(V304+Y304)*G302*I302/1000000),5)</f>
        <v>1.2E-4</v>
      </c>
      <c r="AC304" s="109">
        <f>ROUND((H302*(W304+Z304)*G302*J302/1000000),5)</f>
        <v>9.0000000000000006E-5</v>
      </c>
      <c r="AD304" s="109">
        <f>ROUND((H302*(X304+AA304)*G302*K302/1000000),5)</f>
        <v>2.7999999999999998E-4</v>
      </c>
      <c r="AE304" s="73" t="s">
        <v>56</v>
      </c>
      <c r="AF304" s="74" t="s">
        <v>57</v>
      </c>
      <c r="AG304" s="75">
        <f>ROUND(((X304*F302/3600)),4)</f>
        <v>8.0000000000000004E-4</v>
      </c>
      <c r="AH304" s="75">
        <f>AB304+AC304+AD304</f>
        <v>4.8999999999999998E-4</v>
      </c>
    </row>
    <row r="305" spans="1:36" ht="12.95" customHeight="1" x14ac:dyDescent="0.25">
      <c r="A305" s="571"/>
      <c r="B305" s="132"/>
      <c r="C305" s="67"/>
      <c r="D305" s="67"/>
      <c r="E305" s="67"/>
      <c r="F305" s="67"/>
      <c r="G305" s="67"/>
      <c r="H305" s="67"/>
      <c r="I305" s="67"/>
      <c r="J305" s="67"/>
      <c r="K305" s="67"/>
      <c r="L305" s="68"/>
      <c r="M305" s="68"/>
      <c r="N305" s="67"/>
      <c r="O305" s="67"/>
      <c r="P305" s="67"/>
      <c r="Q305" s="75">
        <v>0.45</v>
      </c>
      <c r="R305" s="78">
        <v>0.4</v>
      </c>
      <c r="S305" s="75">
        <v>1.1000000000000001</v>
      </c>
      <c r="T305" s="78">
        <v>1</v>
      </c>
      <c r="U305" s="78">
        <v>1.2</v>
      </c>
      <c r="V305" s="108">
        <f>ROUND((R305*N302+T305*L302+Q305*D302),4)</f>
        <v>2.06</v>
      </c>
      <c r="W305" s="109">
        <f>ROUND((S305*0.9*O302+U305*0.9*L302+Q305*D302),4)</f>
        <v>6.4008000000000003</v>
      </c>
      <c r="X305" s="109">
        <f>ROUND((S305*P302+U305*L302+Q305*D302),4)</f>
        <v>22.462</v>
      </c>
      <c r="Y305" s="109">
        <f>ROUND((T305*M302+Q305*E302),4)</f>
        <v>0.46</v>
      </c>
      <c r="Z305" s="109">
        <f>ROUND((U305*0.9*M302+Q305*E302),4)</f>
        <v>0.46079999999999999</v>
      </c>
      <c r="AA305" s="109">
        <f>ROUND((U305*M302+Q305*E302),4)</f>
        <v>0.46200000000000002</v>
      </c>
      <c r="AB305" s="109">
        <f>ROUND((H302*(V305+Y305)*G302*I302/1000000),4)</f>
        <v>5.0000000000000001E-4</v>
      </c>
      <c r="AC305" s="109">
        <f>ROUND((H302*(W305+Z305)*G302*J302/1000000),4)</f>
        <v>5.9999999999999995E-4</v>
      </c>
      <c r="AD305" s="109">
        <f>ROUND((H302*(X305+AA305)*G302*K302/1000000),4)</f>
        <v>2.2000000000000001E-3</v>
      </c>
      <c r="AE305" s="73" t="s">
        <v>177</v>
      </c>
      <c r="AF305" s="74" t="s">
        <v>178</v>
      </c>
      <c r="AG305" s="75">
        <f>ROUND(((X305*F302/3600)),4)</f>
        <v>6.1999999999999998E-3</v>
      </c>
      <c r="AH305" s="75">
        <f>AB305+AC305+AD305</f>
        <v>3.3E-3</v>
      </c>
    </row>
    <row r="306" spans="1:36" ht="12.95" customHeight="1" x14ac:dyDescent="0.25">
      <c r="A306" s="572"/>
      <c r="B306" s="67"/>
      <c r="C306" s="67"/>
      <c r="D306" s="67"/>
      <c r="E306" s="67"/>
      <c r="F306" s="67"/>
      <c r="G306" s="67"/>
      <c r="H306" s="67"/>
      <c r="I306" s="67"/>
      <c r="J306" s="67"/>
      <c r="K306" s="67"/>
      <c r="L306" s="68"/>
      <c r="M306" s="68"/>
      <c r="N306" s="67"/>
      <c r="O306" s="67"/>
      <c r="P306" s="67"/>
      <c r="Q306" s="75">
        <v>2.9</v>
      </c>
      <c r="R306" s="78">
        <v>3</v>
      </c>
      <c r="S306" s="75">
        <v>8.1999999999999993</v>
      </c>
      <c r="T306" s="78">
        <v>6.1</v>
      </c>
      <c r="U306" s="78">
        <v>7.4</v>
      </c>
      <c r="V306" s="167">
        <f>ROUND((R306*N302+T306*L302+Q306*D302),4)</f>
        <v>14.961</v>
      </c>
      <c r="W306" s="168">
        <f>ROUND((S306*0.9*O302+U306*0.9*L302+Q306*D302),4)</f>
        <v>47.246600000000001</v>
      </c>
      <c r="X306" s="168">
        <f>ROUND((S306*P302+U306*L302+Q306*D302),4)</f>
        <v>166.97399999999999</v>
      </c>
      <c r="Y306" s="168">
        <f>ROUND((T306*M302+Q306*E302),4)</f>
        <v>2.9609999999999999</v>
      </c>
      <c r="Z306" s="168">
        <f>ROUND((U306*0.9*M302+Q306*E302),4)</f>
        <v>2.9666000000000001</v>
      </c>
      <c r="AA306" s="168">
        <f>ROUND((U306*M302+Q306*E302),4)</f>
        <v>2.9740000000000002</v>
      </c>
      <c r="AB306" s="168">
        <f>ROUND((H302*(V306+Y306)*G302*I302/1000000),4)</f>
        <v>3.2000000000000002E-3</v>
      </c>
      <c r="AC306" s="168">
        <f>ROUND((H302*(W306+Z306)*G302*J302/1000000),4)</f>
        <v>4.4999999999999997E-3</v>
      </c>
      <c r="AD306" s="168">
        <f>ROUND((H302*(X306+AA306)*G302*K302/1000000),4)</f>
        <v>1.61E-2</v>
      </c>
      <c r="AE306" s="73" t="s">
        <v>65</v>
      </c>
      <c r="AF306" s="74" t="s">
        <v>66</v>
      </c>
      <c r="AG306" s="75">
        <f>ROUND(((X306*F302/3600)),4)</f>
        <v>4.6399999999999997E-2</v>
      </c>
      <c r="AH306" s="75">
        <f>AB306+AC306+AD306</f>
        <v>2.3800000000000002E-2</v>
      </c>
    </row>
    <row r="307" spans="1:36" ht="12.95" customHeight="1" x14ac:dyDescent="0.25">
      <c r="A307" s="573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70"/>
      <c r="M307" s="70"/>
      <c r="N307" s="69"/>
      <c r="O307" s="69"/>
      <c r="P307" s="69"/>
      <c r="Q307" s="75">
        <v>0.04</v>
      </c>
      <c r="R307" s="78">
        <v>0.04</v>
      </c>
      <c r="S307" s="75">
        <v>0.16</v>
      </c>
      <c r="T307" s="78">
        <v>0.3</v>
      </c>
      <c r="U307" s="78">
        <v>0.4</v>
      </c>
      <c r="V307" s="167">
        <f>ROUND((R307*N302+T307*L302+Q307*D302),4)</f>
        <v>0.20300000000000001</v>
      </c>
      <c r="W307" s="168">
        <f>ROUND((S307*0.9*O302+U307*0.9*L302+Q307*D302),4)</f>
        <v>0.90759999999999996</v>
      </c>
      <c r="X307" s="168">
        <f>ROUND((S307*P302+U307*L302+Q307*D302),4)</f>
        <v>3.2440000000000002</v>
      </c>
      <c r="Y307" s="168">
        <f>ROUND((T307*M302+Q307*E302),4)</f>
        <v>4.2999999999999997E-2</v>
      </c>
      <c r="Z307" s="168">
        <f>ROUND((U307*0.9*M302+Q307*E302),4)</f>
        <v>4.36E-2</v>
      </c>
      <c r="AA307" s="168">
        <f>ROUND((U307*M302+Q307*E302),4)</f>
        <v>4.3999999999999997E-2</v>
      </c>
      <c r="AB307" s="168">
        <f>ROUND((H302*(V307+Y307)*G302*I302/1000000),5)</f>
        <v>4.0000000000000003E-5</v>
      </c>
      <c r="AC307" s="168">
        <f>ROUND((H302*(W307+Z307)*G302*J302/1000000),5)</f>
        <v>9.0000000000000006E-5</v>
      </c>
      <c r="AD307" s="168">
        <f>ROUND((H302*(X307+AA307)*G302*K302/1000000),4)</f>
        <v>2.9999999999999997E-4</v>
      </c>
      <c r="AE307" s="73" t="s">
        <v>213</v>
      </c>
      <c r="AF307" s="74" t="s">
        <v>62</v>
      </c>
      <c r="AG307" s="75">
        <f>ROUND(((X307*F302/3600)),4)</f>
        <v>8.9999999999999998E-4</v>
      </c>
      <c r="AH307" s="75">
        <f>AB307+AC307+AD307</f>
        <v>4.2999999999999999E-4</v>
      </c>
      <c r="AI307" s="61">
        <f>SUM(AG302:AG307)</f>
        <v>6.4899999999999999E-2</v>
      </c>
      <c r="AJ307" s="61">
        <f>SUM(AH302:AH307)</f>
        <v>3.3920000000000006E-2</v>
      </c>
    </row>
    <row r="308" spans="1:36" ht="12.95" customHeight="1" x14ac:dyDescent="0.25">
      <c r="A308" s="1522" t="s">
        <v>496</v>
      </c>
      <c r="B308" s="1523"/>
      <c r="C308" s="1523"/>
      <c r="D308" s="1523"/>
      <c r="E308" s="1523"/>
      <c r="F308" s="1523"/>
      <c r="G308" s="1523"/>
      <c r="H308" s="1523"/>
      <c r="I308" s="1523"/>
      <c r="J308" s="1523"/>
      <c r="K308" s="1523"/>
      <c r="L308" s="1523"/>
      <c r="M308" s="1523"/>
      <c r="N308" s="1523"/>
      <c r="O308" s="1523"/>
      <c r="P308" s="1523"/>
      <c r="Q308" s="1523"/>
      <c r="R308" s="1523"/>
      <c r="S308" s="1523"/>
      <c r="T308" s="1524"/>
      <c r="U308" s="1524"/>
      <c r="V308" s="1523"/>
      <c r="W308" s="1523"/>
      <c r="X308" s="1523"/>
      <c r="Y308" s="1523"/>
      <c r="Z308" s="1523"/>
      <c r="AA308" s="1523"/>
      <c r="AB308" s="1523"/>
      <c r="AC308" s="1523"/>
      <c r="AD308" s="1523"/>
      <c r="AE308" s="1523"/>
      <c r="AF308" s="1523"/>
      <c r="AG308" s="1523"/>
      <c r="AH308" s="1525"/>
    </row>
    <row r="309" spans="1:36" ht="12.95" customHeight="1" x14ac:dyDescent="0.25">
      <c r="A309" s="506" t="s">
        <v>475</v>
      </c>
      <c r="B309" s="71" t="s">
        <v>211</v>
      </c>
      <c r="C309" s="1128" t="s">
        <v>444</v>
      </c>
      <c r="D309" s="65">
        <v>1</v>
      </c>
      <c r="E309" s="65">
        <v>1</v>
      </c>
      <c r="F309" s="65">
        <v>1</v>
      </c>
      <c r="G309" s="65">
        <v>1</v>
      </c>
      <c r="H309" s="65">
        <f>ROUND((F309/G309),2)</f>
        <v>1</v>
      </c>
      <c r="I309" s="65">
        <v>180</v>
      </c>
      <c r="J309" s="65">
        <v>90</v>
      </c>
      <c r="K309" s="66">
        <v>95</v>
      </c>
      <c r="L309" s="66">
        <v>0.01</v>
      </c>
      <c r="M309" s="66">
        <v>0.01</v>
      </c>
      <c r="N309" s="65">
        <v>4</v>
      </c>
      <c r="O309" s="65">
        <v>6</v>
      </c>
      <c r="P309" s="65">
        <v>20</v>
      </c>
      <c r="Q309" s="65">
        <v>1</v>
      </c>
      <c r="R309" s="72">
        <v>1</v>
      </c>
      <c r="S309" s="65">
        <v>2</v>
      </c>
      <c r="T309" s="72">
        <v>4</v>
      </c>
      <c r="U309" s="72">
        <v>4</v>
      </c>
      <c r="V309" s="108">
        <f>ROUND((R309*N309+T309*L309+Q309*D309),4)</f>
        <v>5.04</v>
      </c>
      <c r="W309" s="109">
        <f>ROUND((S309*O309+U309*L309+Q309*D309),4)</f>
        <v>13.04</v>
      </c>
      <c r="X309" s="109">
        <f>ROUND((S309*P309+U309*L309+Q309*D309),4)</f>
        <v>41.04</v>
      </c>
      <c r="Y309" s="109">
        <f>ROUND((T309*M309+Q309*E309),4)</f>
        <v>1.04</v>
      </c>
      <c r="Z309" s="109">
        <f>ROUND((U309*M309+Q309*E309),4)</f>
        <v>1.04</v>
      </c>
      <c r="AA309" s="109">
        <f>ROUND((U309*M309+Q309*E309),4)</f>
        <v>1.04</v>
      </c>
      <c r="AB309" s="109">
        <f>ROUND((H309*(V309+Y309)*G309*I309/1000000),4)</f>
        <v>1.1000000000000001E-3</v>
      </c>
      <c r="AC309" s="109">
        <f>ROUND((H309*(W309+Z309)*G309*J309/1000000),4)</f>
        <v>1.2999999999999999E-3</v>
      </c>
      <c r="AD309" s="109">
        <f>ROUND((H309*(X309+AA309)*G309*K309/1000000),4)</f>
        <v>4.0000000000000001E-3</v>
      </c>
      <c r="AE309" s="73" t="s">
        <v>48</v>
      </c>
      <c r="AF309" s="74" t="s">
        <v>49</v>
      </c>
      <c r="AG309" s="75">
        <f>ROUND(((X309*F309/3600)*0.8),4)</f>
        <v>9.1000000000000004E-3</v>
      </c>
      <c r="AH309" s="75">
        <f>ROUND(((AB309+AC309+AD309)*0.8),4)</f>
        <v>5.1000000000000004E-3</v>
      </c>
    </row>
    <row r="310" spans="1:36" ht="12.95" customHeight="1" x14ac:dyDescent="0.25">
      <c r="A310" s="570" t="s">
        <v>166</v>
      </c>
      <c r="B310" s="67" t="s">
        <v>212</v>
      </c>
      <c r="C310" s="1129"/>
      <c r="D310" s="67"/>
      <c r="E310" s="67"/>
      <c r="F310" s="67"/>
      <c r="G310" s="67"/>
      <c r="H310" s="67"/>
      <c r="I310" s="67"/>
      <c r="J310" s="67"/>
      <c r="K310" s="67"/>
      <c r="L310" s="68"/>
      <c r="M310" s="68"/>
      <c r="N310" s="67"/>
      <c r="O310" s="67"/>
      <c r="P310" s="67"/>
      <c r="Q310" s="69"/>
      <c r="R310" s="69"/>
      <c r="S310" s="70"/>
      <c r="T310" s="69"/>
      <c r="U310" s="69"/>
      <c r="V310" s="110"/>
      <c r="W310" s="111"/>
      <c r="X310" s="111"/>
      <c r="Y310" s="111"/>
      <c r="Z310" s="111"/>
      <c r="AA310" s="111"/>
      <c r="AB310" s="111"/>
      <c r="AC310" s="111"/>
      <c r="AD310" s="111"/>
      <c r="AE310" s="73" t="s">
        <v>51</v>
      </c>
      <c r="AF310" s="74" t="s">
        <v>52</v>
      </c>
      <c r="AG310" s="75">
        <f>ROUND(((X309*F309/3600)*0.13),4)</f>
        <v>1.5E-3</v>
      </c>
      <c r="AH310" s="75">
        <f>ROUND(((AB309+AC309+AD309)*0.13),4)</f>
        <v>8.0000000000000004E-4</v>
      </c>
    </row>
    <row r="311" spans="1:36" ht="12.95" customHeight="1" x14ac:dyDescent="0.25">
      <c r="A311" s="571"/>
      <c r="B311" s="76" t="s">
        <v>491</v>
      </c>
      <c r="C311" s="76"/>
      <c r="D311" s="67"/>
      <c r="E311" s="67"/>
      <c r="F311" s="67"/>
      <c r="G311" s="67"/>
      <c r="H311" s="67"/>
      <c r="I311" s="67"/>
      <c r="J311" s="67"/>
      <c r="K311" s="67"/>
      <c r="L311" s="68"/>
      <c r="M311" s="68"/>
      <c r="N311" s="67"/>
      <c r="O311" s="67"/>
      <c r="P311" s="67"/>
      <c r="Q311" s="75">
        <v>0.1</v>
      </c>
      <c r="R311" s="78">
        <v>0.113</v>
      </c>
      <c r="S311" s="79">
        <v>0.13600000000000001</v>
      </c>
      <c r="T311" s="78">
        <v>0.54</v>
      </c>
      <c r="U311" s="78">
        <v>0.67</v>
      </c>
      <c r="V311" s="108">
        <f>ROUND((R311*N309+T311*L309+Q311*D309),4)</f>
        <v>0.55740000000000001</v>
      </c>
      <c r="W311" s="109">
        <f>ROUND((S311*0.9*O309+U311*0.9*L309+Q311*D309),4)</f>
        <v>0.84040000000000004</v>
      </c>
      <c r="X311" s="109">
        <f>ROUND((S311*P309+U311*L309+Q311*D309),4)</f>
        <v>2.8267000000000002</v>
      </c>
      <c r="Y311" s="109">
        <f>ROUND((T311*M309+Q311*E309),4)</f>
        <v>0.10539999999999999</v>
      </c>
      <c r="Z311" s="109">
        <f>ROUND((U311*0.9*M309+Q311*E309),4)</f>
        <v>0.106</v>
      </c>
      <c r="AA311" s="109">
        <f>ROUND((U311*M309+Q311*E309),4)</f>
        <v>0.1067</v>
      </c>
      <c r="AB311" s="109">
        <f>ROUND((H309*(V311+Y311)*G309*I309/1000000),5)</f>
        <v>1.2E-4</v>
      </c>
      <c r="AC311" s="109">
        <f>ROUND((H309*(W311+Z311)*G309*J309/1000000),5)</f>
        <v>9.0000000000000006E-5</v>
      </c>
      <c r="AD311" s="109">
        <f>ROUND((H309*(X311+AA311)*G309*K309/1000000),5)</f>
        <v>2.7999999999999998E-4</v>
      </c>
      <c r="AE311" s="73" t="s">
        <v>56</v>
      </c>
      <c r="AF311" s="74" t="s">
        <v>57</v>
      </c>
      <c r="AG311" s="75">
        <f>ROUND(((X311*F309/3600)),4)</f>
        <v>8.0000000000000004E-4</v>
      </c>
      <c r="AH311" s="75">
        <f>AB311+AC311+AD311</f>
        <v>4.8999999999999998E-4</v>
      </c>
    </row>
    <row r="312" spans="1:36" ht="12.95" customHeight="1" x14ac:dyDescent="0.25">
      <c r="A312" s="571"/>
      <c r="B312" s="132"/>
      <c r="C312" s="67"/>
      <c r="D312" s="67"/>
      <c r="E312" s="67"/>
      <c r="F312" s="67"/>
      <c r="G312" s="67"/>
      <c r="H312" s="67"/>
      <c r="I312" s="67"/>
      <c r="J312" s="67"/>
      <c r="K312" s="67"/>
      <c r="L312" s="68"/>
      <c r="M312" s="68"/>
      <c r="N312" s="67"/>
      <c r="O312" s="67"/>
      <c r="P312" s="67"/>
      <c r="Q312" s="75">
        <v>0.45</v>
      </c>
      <c r="R312" s="78">
        <v>0.4</v>
      </c>
      <c r="S312" s="75">
        <v>1.1000000000000001</v>
      </c>
      <c r="T312" s="78">
        <v>1</v>
      </c>
      <c r="U312" s="78">
        <v>1.2</v>
      </c>
      <c r="V312" s="108">
        <f>ROUND((R312*N309+T312*L309+Q312*D309),4)</f>
        <v>2.06</v>
      </c>
      <c r="W312" s="109">
        <f>ROUND((S312*0.9*O309+U312*0.9*L309+Q312*D309),4)</f>
        <v>6.4008000000000003</v>
      </c>
      <c r="X312" s="109">
        <f>ROUND((S312*P309+U312*L309+Q312*D309),4)</f>
        <v>22.462</v>
      </c>
      <c r="Y312" s="109">
        <f>ROUND((T312*M309+Q312*E309),4)</f>
        <v>0.46</v>
      </c>
      <c r="Z312" s="109">
        <f>ROUND((U312*0.9*M309+Q312*E309),4)</f>
        <v>0.46079999999999999</v>
      </c>
      <c r="AA312" s="109">
        <f>ROUND((U312*M309+Q312*E309),4)</f>
        <v>0.46200000000000002</v>
      </c>
      <c r="AB312" s="109">
        <f>ROUND((H309*(V312+Y312)*G309*I309/1000000),4)</f>
        <v>5.0000000000000001E-4</v>
      </c>
      <c r="AC312" s="109">
        <f>ROUND((H309*(W312+Z312)*G309*J309/1000000),4)</f>
        <v>5.9999999999999995E-4</v>
      </c>
      <c r="AD312" s="109">
        <f>ROUND((H309*(X312+AA312)*G309*K309/1000000),4)</f>
        <v>2.2000000000000001E-3</v>
      </c>
      <c r="AE312" s="73" t="s">
        <v>177</v>
      </c>
      <c r="AF312" s="74" t="s">
        <v>178</v>
      </c>
      <c r="AG312" s="75">
        <f>ROUND(((X312*F309/3600)),4)</f>
        <v>6.1999999999999998E-3</v>
      </c>
      <c r="AH312" s="75">
        <f>AB312+AC312+AD312</f>
        <v>3.3E-3</v>
      </c>
    </row>
    <row r="313" spans="1:36" ht="12.95" customHeight="1" x14ac:dyDescent="0.25">
      <c r="A313" s="572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8"/>
      <c r="M313" s="68"/>
      <c r="N313" s="67"/>
      <c r="O313" s="67"/>
      <c r="P313" s="67"/>
      <c r="Q313" s="75">
        <v>2.9</v>
      </c>
      <c r="R313" s="78">
        <v>3</v>
      </c>
      <c r="S313" s="75">
        <v>8.1999999999999993</v>
      </c>
      <c r="T313" s="78">
        <v>6.1</v>
      </c>
      <c r="U313" s="78">
        <v>7.4</v>
      </c>
      <c r="V313" s="167">
        <f>ROUND((R313*N309+T313*L309+Q313*D309),4)</f>
        <v>14.961</v>
      </c>
      <c r="W313" s="168">
        <f>ROUND((S313*0.9*O309+U313*0.9*L309+Q313*D309),4)</f>
        <v>47.246600000000001</v>
      </c>
      <c r="X313" s="168">
        <f>ROUND((S313*P309+U313*L309+Q313*D309),4)</f>
        <v>166.97399999999999</v>
      </c>
      <c r="Y313" s="168">
        <f>ROUND((T313*M309+Q313*E309),4)</f>
        <v>2.9609999999999999</v>
      </c>
      <c r="Z313" s="168">
        <f>ROUND((U313*0.9*M309+Q313*E309),4)</f>
        <v>2.9666000000000001</v>
      </c>
      <c r="AA313" s="168">
        <f>ROUND((U313*M309+Q313*E309),4)</f>
        <v>2.9740000000000002</v>
      </c>
      <c r="AB313" s="168">
        <f>ROUND((H309*(V313+Y313)*G309*I309/1000000),4)</f>
        <v>3.2000000000000002E-3</v>
      </c>
      <c r="AC313" s="168">
        <f>ROUND((H309*(W313+Z313)*G309*J309/1000000),4)</f>
        <v>4.4999999999999997E-3</v>
      </c>
      <c r="AD313" s="168">
        <f>ROUND((H309*(X313+AA313)*G309*K309/1000000),4)</f>
        <v>1.61E-2</v>
      </c>
      <c r="AE313" s="73" t="s">
        <v>65</v>
      </c>
      <c r="AF313" s="74" t="s">
        <v>66</v>
      </c>
      <c r="AG313" s="75">
        <f>ROUND(((X313*F309/3600)),4)</f>
        <v>4.6399999999999997E-2</v>
      </c>
      <c r="AH313" s="75">
        <f>AB313+AC313+AD313</f>
        <v>2.3800000000000002E-2</v>
      </c>
    </row>
    <row r="314" spans="1:36" ht="12.95" customHeight="1" x14ac:dyDescent="0.25">
      <c r="A314" s="573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70"/>
      <c r="M314" s="70"/>
      <c r="N314" s="69"/>
      <c r="O314" s="69"/>
      <c r="P314" s="69"/>
      <c r="Q314" s="75">
        <v>0.04</v>
      </c>
      <c r="R314" s="78">
        <v>0.04</v>
      </c>
      <c r="S314" s="75">
        <v>0.16</v>
      </c>
      <c r="T314" s="78">
        <v>0.3</v>
      </c>
      <c r="U314" s="78">
        <v>0.4</v>
      </c>
      <c r="V314" s="167">
        <f>ROUND((R314*N309+T314*L309+Q314*D309),4)</f>
        <v>0.20300000000000001</v>
      </c>
      <c r="W314" s="168">
        <f>ROUND((S314*0.9*O309+U314*0.9*L309+Q314*D309),4)</f>
        <v>0.90759999999999996</v>
      </c>
      <c r="X314" s="168">
        <f>ROUND((S314*P309+U314*L309+Q314*D309),4)</f>
        <v>3.2440000000000002</v>
      </c>
      <c r="Y314" s="168">
        <f>ROUND((T314*M309+Q314*E309),4)</f>
        <v>4.2999999999999997E-2</v>
      </c>
      <c r="Z314" s="168">
        <f>ROUND((U314*0.9*M309+Q314*E309),4)</f>
        <v>4.36E-2</v>
      </c>
      <c r="AA314" s="168">
        <f>ROUND((U314*M309+Q314*E309),4)</f>
        <v>4.3999999999999997E-2</v>
      </c>
      <c r="AB314" s="168">
        <f>ROUND((H309*(V314+Y314)*G309*I309/1000000),5)</f>
        <v>4.0000000000000003E-5</v>
      </c>
      <c r="AC314" s="168">
        <f>ROUND((H309*(W314+Z314)*G309*J309/1000000),5)</f>
        <v>9.0000000000000006E-5</v>
      </c>
      <c r="AD314" s="168">
        <f>ROUND((H309*(X314+AA314)*G309*K309/1000000),4)</f>
        <v>2.9999999999999997E-4</v>
      </c>
      <c r="AE314" s="73" t="s">
        <v>213</v>
      </c>
      <c r="AF314" s="74" t="s">
        <v>62</v>
      </c>
      <c r="AG314" s="75">
        <f>ROUND(((X314*F309/3600)),4)</f>
        <v>8.9999999999999998E-4</v>
      </c>
      <c r="AH314" s="75">
        <f>AB314+AC314+AD314</f>
        <v>4.2999999999999999E-4</v>
      </c>
      <c r="AI314" s="61">
        <f>SUM(AG309:AG314)</f>
        <v>6.4899999999999999E-2</v>
      </c>
      <c r="AJ314" s="61">
        <f>SUM(AH309:AH314)</f>
        <v>3.3920000000000006E-2</v>
      </c>
    </row>
    <row r="315" spans="1:36" ht="12.95" customHeight="1" x14ac:dyDescent="0.25">
      <c r="A315" s="1522" t="s">
        <v>506</v>
      </c>
      <c r="B315" s="1523"/>
      <c r="C315" s="1523"/>
      <c r="D315" s="1523"/>
      <c r="E315" s="1523"/>
      <c r="F315" s="1523"/>
      <c r="G315" s="1523"/>
      <c r="H315" s="1523"/>
      <c r="I315" s="1523"/>
      <c r="J315" s="1523"/>
      <c r="K315" s="1523"/>
      <c r="L315" s="1523"/>
      <c r="M315" s="1523"/>
      <c r="N315" s="1523"/>
      <c r="O315" s="1523"/>
      <c r="P315" s="1523"/>
      <c r="Q315" s="1523"/>
      <c r="R315" s="1523"/>
      <c r="S315" s="1523"/>
      <c r="T315" s="1524"/>
      <c r="U315" s="1524"/>
      <c r="V315" s="1523"/>
      <c r="W315" s="1523"/>
      <c r="X315" s="1523"/>
      <c r="Y315" s="1523"/>
      <c r="Z315" s="1523"/>
      <c r="AA315" s="1523"/>
      <c r="AB315" s="1523"/>
      <c r="AC315" s="1523"/>
      <c r="AD315" s="1523"/>
      <c r="AE315" s="1523"/>
      <c r="AF315" s="1523"/>
      <c r="AG315" s="1523"/>
      <c r="AH315" s="1525"/>
    </row>
    <row r="316" spans="1:36" ht="12.95" customHeight="1" x14ac:dyDescent="0.25">
      <c r="A316" s="506" t="s">
        <v>483</v>
      </c>
      <c r="B316" s="71" t="s">
        <v>211</v>
      </c>
      <c r="C316" s="1128" t="s">
        <v>444</v>
      </c>
      <c r="D316" s="65">
        <v>1</v>
      </c>
      <c r="E316" s="65">
        <v>1</v>
      </c>
      <c r="F316" s="65">
        <v>1</v>
      </c>
      <c r="G316" s="65">
        <v>1</v>
      </c>
      <c r="H316" s="65">
        <f>ROUND((F316/G316),2)</f>
        <v>1</v>
      </c>
      <c r="I316" s="65">
        <v>173</v>
      </c>
      <c r="J316" s="65">
        <v>0</v>
      </c>
      <c r="K316" s="66">
        <v>0</v>
      </c>
      <c r="L316" s="66">
        <v>0.01</v>
      </c>
      <c r="M316" s="66">
        <v>0.01</v>
      </c>
      <c r="N316" s="65">
        <v>4</v>
      </c>
      <c r="O316" s="65">
        <v>6</v>
      </c>
      <c r="P316" s="65">
        <v>20</v>
      </c>
      <c r="Q316" s="65">
        <v>1</v>
      </c>
      <c r="R316" s="72">
        <v>1</v>
      </c>
      <c r="S316" s="65">
        <v>2</v>
      </c>
      <c r="T316" s="72">
        <v>4</v>
      </c>
      <c r="U316" s="72">
        <v>4</v>
      </c>
      <c r="V316" s="108">
        <f>ROUND((R316*N316+T316*L316+Q316*D316),4)</f>
        <v>5.04</v>
      </c>
      <c r="W316" s="109">
        <f>ROUND((S316*O316+U316*L316+Q316*D316),4)</f>
        <v>13.04</v>
      </c>
      <c r="X316" s="109">
        <f>ROUND((S316*P316+U316*L316+Q316*D316),4)</f>
        <v>41.04</v>
      </c>
      <c r="Y316" s="109">
        <f>ROUND((T316*M316+Q316*E316),4)</f>
        <v>1.04</v>
      </c>
      <c r="Z316" s="109">
        <f>ROUND((U316*M316+Q316*E316),4)</f>
        <v>1.04</v>
      </c>
      <c r="AA316" s="109">
        <f>ROUND((U316*M316+Q316*E316),4)</f>
        <v>1.04</v>
      </c>
      <c r="AB316" s="109">
        <f>ROUND((H316*(V316+Y316)*G316*I316/1000000),4)</f>
        <v>1.1000000000000001E-3</v>
      </c>
      <c r="AC316" s="109">
        <f>ROUND((H316*(W316+Z316)*G316*J316/1000000),4)</f>
        <v>0</v>
      </c>
      <c r="AD316" s="109">
        <f>ROUND((H316*(X316+AA316)*G316*K316/1000000),4)</f>
        <v>0</v>
      </c>
      <c r="AE316" s="73" t="s">
        <v>48</v>
      </c>
      <c r="AF316" s="74" t="s">
        <v>49</v>
      </c>
      <c r="AG316" s="75">
        <f>ROUND(((X316*F316/3600)*0.8),4)</f>
        <v>9.1000000000000004E-3</v>
      </c>
      <c r="AH316" s="75">
        <f>ROUND(((AB316+AC316+AD316)*0.8),4)</f>
        <v>8.9999999999999998E-4</v>
      </c>
    </row>
    <row r="317" spans="1:36" ht="12.95" customHeight="1" x14ac:dyDescent="0.25">
      <c r="A317" s="570" t="s">
        <v>166</v>
      </c>
      <c r="B317" s="67" t="s">
        <v>212</v>
      </c>
      <c r="C317" s="1129"/>
      <c r="D317" s="67"/>
      <c r="E317" s="67"/>
      <c r="F317" s="67"/>
      <c r="G317" s="67"/>
      <c r="H317" s="67"/>
      <c r="I317" s="67"/>
      <c r="J317" s="67"/>
      <c r="K317" s="67"/>
      <c r="L317" s="68"/>
      <c r="M317" s="68"/>
      <c r="N317" s="67"/>
      <c r="O317" s="67"/>
      <c r="P317" s="67"/>
      <c r="Q317" s="69"/>
      <c r="R317" s="69"/>
      <c r="S317" s="70"/>
      <c r="T317" s="69"/>
      <c r="U317" s="69"/>
      <c r="V317" s="110"/>
      <c r="W317" s="111"/>
      <c r="X317" s="111"/>
      <c r="Y317" s="111"/>
      <c r="Z317" s="111"/>
      <c r="AA317" s="111"/>
      <c r="AB317" s="111"/>
      <c r="AC317" s="111"/>
      <c r="AD317" s="111"/>
      <c r="AE317" s="73" t="s">
        <v>51</v>
      </c>
      <c r="AF317" s="74" t="s">
        <v>52</v>
      </c>
      <c r="AG317" s="75">
        <f>ROUND(((X316*F316/3600)*0.13),4)</f>
        <v>1.5E-3</v>
      </c>
      <c r="AH317" s="75">
        <f>ROUND(((AB316+AC316+AD316)*0.13),4)</f>
        <v>1E-4</v>
      </c>
    </row>
    <row r="318" spans="1:36" ht="12.95" customHeight="1" x14ac:dyDescent="0.25">
      <c r="A318" s="571"/>
      <c r="B318" s="76" t="s">
        <v>491</v>
      </c>
      <c r="C318" s="76"/>
      <c r="D318" s="67"/>
      <c r="E318" s="67"/>
      <c r="F318" s="67"/>
      <c r="G318" s="67"/>
      <c r="H318" s="67"/>
      <c r="I318" s="67"/>
      <c r="J318" s="67"/>
      <c r="K318" s="67"/>
      <c r="L318" s="68"/>
      <c r="M318" s="68"/>
      <c r="N318" s="67"/>
      <c r="O318" s="67"/>
      <c r="P318" s="67"/>
      <c r="Q318" s="75">
        <v>0.1</v>
      </c>
      <c r="R318" s="78">
        <v>0.113</v>
      </c>
      <c r="S318" s="79">
        <v>0.13600000000000001</v>
      </c>
      <c r="T318" s="78">
        <v>0.54</v>
      </c>
      <c r="U318" s="78">
        <v>0.67</v>
      </c>
      <c r="V318" s="108">
        <f>ROUND((R318*N316+T318*L316+Q318*D316),4)</f>
        <v>0.55740000000000001</v>
      </c>
      <c r="W318" s="109">
        <f>ROUND((S318*0.9*O316+U318*0.9*L316+Q318*D316),4)</f>
        <v>0.84040000000000004</v>
      </c>
      <c r="X318" s="109">
        <f>ROUND((S318*P316+U318*L316+Q318*D316),4)</f>
        <v>2.8267000000000002</v>
      </c>
      <c r="Y318" s="109">
        <f>ROUND((T318*M316+Q318*E316),4)</f>
        <v>0.10539999999999999</v>
      </c>
      <c r="Z318" s="109">
        <f>ROUND((U318*0.9*M316+Q318*E316),4)</f>
        <v>0.106</v>
      </c>
      <c r="AA318" s="109">
        <f>ROUND((U318*M316+Q318*E316),4)</f>
        <v>0.1067</v>
      </c>
      <c r="AB318" s="109">
        <f>ROUND((H316*(V318+Y318)*G316*I316/1000000),5)</f>
        <v>1.1E-4</v>
      </c>
      <c r="AC318" s="109">
        <f>ROUND((H316*(W318+Z318)*G316*J316/1000000),5)</f>
        <v>0</v>
      </c>
      <c r="AD318" s="109">
        <f>ROUND((H316*(X318+AA318)*G316*K316/1000000),5)</f>
        <v>0</v>
      </c>
      <c r="AE318" s="73" t="s">
        <v>56</v>
      </c>
      <c r="AF318" s="74" t="s">
        <v>57</v>
      </c>
      <c r="AG318" s="75">
        <f>ROUND(((X318*F316/3600)),4)</f>
        <v>8.0000000000000004E-4</v>
      </c>
      <c r="AH318" s="75">
        <f>AB318+AC318+AD318</f>
        <v>1.1E-4</v>
      </c>
    </row>
    <row r="319" spans="1:36" ht="12.95" customHeight="1" x14ac:dyDescent="0.25">
      <c r="A319" s="571"/>
      <c r="B319" s="132"/>
      <c r="C319" s="67"/>
      <c r="D319" s="67"/>
      <c r="E319" s="67"/>
      <c r="F319" s="67"/>
      <c r="G319" s="67"/>
      <c r="H319" s="67"/>
      <c r="I319" s="67"/>
      <c r="J319" s="67"/>
      <c r="K319" s="67"/>
      <c r="L319" s="68"/>
      <c r="M319" s="68"/>
      <c r="N319" s="67"/>
      <c r="O319" s="67"/>
      <c r="P319" s="67"/>
      <c r="Q319" s="75">
        <v>0.45</v>
      </c>
      <c r="R319" s="78">
        <v>0.4</v>
      </c>
      <c r="S319" s="75">
        <v>1.1000000000000001</v>
      </c>
      <c r="T319" s="78">
        <v>1</v>
      </c>
      <c r="U319" s="78">
        <v>1.2</v>
      </c>
      <c r="V319" s="108">
        <f>ROUND((R319*N316+T319*L316+Q319*D316),4)</f>
        <v>2.06</v>
      </c>
      <c r="W319" s="109">
        <f>ROUND((S319*0.9*O316+U319*0.9*L316+Q319*D316),4)</f>
        <v>6.4008000000000003</v>
      </c>
      <c r="X319" s="109">
        <f>ROUND((S319*P316+U319*L316+Q319*D316),4)</f>
        <v>22.462</v>
      </c>
      <c r="Y319" s="109">
        <f>ROUND((T319*M316+Q319*E316),4)</f>
        <v>0.46</v>
      </c>
      <c r="Z319" s="109">
        <f>ROUND((U319*0.9*M316+Q319*E316),4)</f>
        <v>0.46079999999999999</v>
      </c>
      <c r="AA319" s="109">
        <f>ROUND((U319*M316+Q319*E316),4)</f>
        <v>0.46200000000000002</v>
      </c>
      <c r="AB319" s="109">
        <f>ROUND((H316*(V319+Y319)*G316*I316/1000000),4)</f>
        <v>4.0000000000000002E-4</v>
      </c>
      <c r="AC319" s="109">
        <f>ROUND((H316*(W319+Z319)*G316*J316/1000000),4)</f>
        <v>0</v>
      </c>
      <c r="AD319" s="109">
        <f>ROUND((H316*(X319+AA319)*G316*K316/1000000),4)</f>
        <v>0</v>
      </c>
      <c r="AE319" s="73" t="s">
        <v>177</v>
      </c>
      <c r="AF319" s="74" t="s">
        <v>178</v>
      </c>
      <c r="AG319" s="75">
        <f>ROUND(((X319*F316/3600)),4)</f>
        <v>6.1999999999999998E-3</v>
      </c>
      <c r="AH319" s="75">
        <f>AB319+AC319+AD319</f>
        <v>4.0000000000000002E-4</v>
      </c>
    </row>
    <row r="320" spans="1:36" ht="12.95" customHeight="1" x14ac:dyDescent="0.25">
      <c r="A320" s="572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8"/>
      <c r="M320" s="68"/>
      <c r="N320" s="67"/>
      <c r="O320" s="67"/>
      <c r="P320" s="67"/>
      <c r="Q320" s="75">
        <v>2.9</v>
      </c>
      <c r="R320" s="78">
        <v>3</v>
      </c>
      <c r="S320" s="75">
        <v>8.1999999999999993</v>
      </c>
      <c r="T320" s="78">
        <v>6.1</v>
      </c>
      <c r="U320" s="78">
        <v>7.4</v>
      </c>
      <c r="V320" s="167">
        <f>ROUND((R320*N316+T320*L316+Q320*D316),4)</f>
        <v>14.961</v>
      </c>
      <c r="W320" s="168">
        <f>ROUND((S320*0.9*O316+U320*0.9*L316+Q320*D316),4)</f>
        <v>47.246600000000001</v>
      </c>
      <c r="X320" s="168">
        <f>ROUND((S320*P316+U320*L316+Q320*D316),4)</f>
        <v>166.97399999999999</v>
      </c>
      <c r="Y320" s="168">
        <f>ROUND((T320*M316+Q320*E316),4)</f>
        <v>2.9609999999999999</v>
      </c>
      <c r="Z320" s="168">
        <f>ROUND((U320*0.9*M316+Q320*E316),4)</f>
        <v>2.9666000000000001</v>
      </c>
      <c r="AA320" s="168">
        <f>ROUND((U320*M316+Q320*E316),4)</f>
        <v>2.9740000000000002</v>
      </c>
      <c r="AB320" s="168">
        <f>ROUND((H316*(V320+Y320)*G316*I316/1000000),4)</f>
        <v>3.0999999999999999E-3</v>
      </c>
      <c r="AC320" s="168">
        <f>ROUND((H316*(W320+Z320)*G316*J316/1000000),4)</f>
        <v>0</v>
      </c>
      <c r="AD320" s="168">
        <f>ROUND((H316*(X320+AA320)*G316*K316/1000000),4)</f>
        <v>0</v>
      </c>
      <c r="AE320" s="73" t="s">
        <v>65</v>
      </c>
      <c r="AF320" s="74" t="s">
        <v>66</v>
      </c>
      <c r="AG320" s="75">
        <f>ROUND(((X320*F316/3600)),4)</f>
        <v>4.6399999999999997E-2</v>
      </c>
      <c r="AH320" s="75">
        <f>AB320+AC320+AD320</f>
        <v>3.0999999999999999E-3</v>
      </c>
    </row>
    <row r="321" spans="1:36" ht="12.95" customHeight="1" x14ac:dyDescent="0.25">
      <c r="A321" s="573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70"/>
      <c r="M321" s="70"/>
      <c r="N321" s="69"/>
      <c r="O321" s="69"/>
      <c r="P321" s="69"/>
      <c r="Q321" s="75">
        <v>0.04</v>
      </c>
      <c r="R321" s="78">
        <v>0.04</v>
      </c>
      <c r="S321" s="75">
        <v>0.16</v>
      </c>
      <c r="T321" s="78">
        <v>0.3</v>
      </c>
      <c r="U321" s="78">
        <v>0.4</v>
      </c>
      <c r="V321" s="167">
        <f>ROUND((R321*N316+T321*L316+Q321*D316),4)</f>
        <v>0.20300000000000001</v>
      </c>
      <c r="W321" s="168">
        <f>ROUND((S321*0.9*O316+U321*0.9*L316+Q321*D316),4)</f>
        <v>0.90759999999999996</v>
      </c>
      <c r="X321" s="168">
        <f>ROUND((S321*P316+U321*L316+Q321*D316),4)</f>
        <v>3.2440000000000002</v>
      </c>
      <c r="Y321" s="168">
        <f>ROUND((T321*M316+Q321*E316),4)</f>
        <v>4.2999999999999997E-2</v>
      </c>
      <c r="Z321" s="168">
        <f>ROUND((U321*0.9*M316+Q321*E316),4)</f>
        <v>4.36E-2</v>
      </c>
      <c r="AA321" s="168">
        <f>ROUND((U321*M316+Q321*E316),4)</f>
        <v>4.3999999999999997E-2</v>
      </c>
      <c r="AB321" s="168">
        <f>ROUND((H316*(V321+Y321)*G316*I316/1000000),5)</f>
        <v>4.0000000000000003E-5</v>
      </c>
      <c r="AC321" s="168">
        <f>ROUND((H316*(W321+Z321)*G316*J316/1000000),5)</f>
        <v>0</v>
      </c>
      <c r="AD321" s="168">
        <f>ROUND((H316*(X321+AA321)*G316*K316/1000000),5)</f>
        <v>0</v>
      </c>
      <c r="AE321" s="73" t="s">
        <v>213</v>
      </c>
      <c r="AF321" s="74" t="s">
        <v>62</v>
      </c>
      <c r="AG321" s="75">
        <f>ROUND(((X321*F316/3600)),4)</f>
        <v>8.9999999999999998E-4</v>
      </c>
      <c r="AH321" s="75">
        <f>AB321+AC321+AD321</f>
        <v>4.0000000000000003E-5</v>
      </c>
      <c r="AI321" s="61">
        <f>SUM(AG316:AG321)</f>
        <v>6.4899999999999999E-2</v>
      </c>
      <c r="AJ321" s="61">
        <f>SUM(AH316:AH321)</f>
        <v>4.6499999999999996E-3</v>
      </c>
    </row>
    <row r="322" spans="1:36" ht="12.95" customHeight="1" x14ac:dyDescent="0.25">
      <c r="A322" s="1522" t="s">
        <v>508</v>
      </c>
      <c r="B322" s="1523"/>
      <c r="C322" s="1523"/>
      <c r="D322" s="1523"/>
      <c r="E322" s="1523"/>
      <c r="F322" s="1523"/>
      <c r="G322" s="1523"/>
      <c r="H322" s="1523"/>
      <c r="I322" s="1523"/>
      <c r="J322" s="1523"/>
      <c r="K322" s="1523"/>
      <c r="L322" s="1523"/>
      <c r="M322" s="1523"/>
      <c r="N322" s="1523"/>
      <c r="O322" s="1523"/>
      <c r="P322" s="1523"/>
      <c r="Q322" s="1523"/>
      <c r="R322" s="1523"/>
      <c r="S322" s="1523"/>
      <c r="T322" s="1524"/>
      <c r="U322" s="1524"/>
      <c r="V322" s="1523"/>
      <c r="W322" s="1523"/>
      <c r="X322" s="1523"/>
      <c r="Y322" s="1523"/>
      <c r="Z322" s="1523"/>
      <c r="AA322" s="1523"/>
      <c r="AB322" s="1523"/>
      <c r="AC322" s="1523"/>
      <c r="AD322" s="1523"/>
      <c r="AE322" s="1523"/>
      <c r="AF322" s="1523"/>
      <c r="AG322" s="1523"/>
      <c r="AH322" s="1525"/>
    </row>
    <row r="323" spans="1:36" ht="12.95" customHeight="1" x14ac:dyDescent="0.25">
      <c r="A323" s="506" t="s">
        <v>500</v>
      </c>
      <c r="B323" s="71" t="s">
        <v>211</v>
      </c>
      <c r="C323" s="1128" t="s">
        <v>444</v>
      </c>
      <c r="D323" s="65">
        <v>1</v>
      </c>
      <c r="E323" s="65">
        <v>1</v>
      </c>
      <c r="F323" s="65">
        <v>1</v>
      </c>
      <c r="G323" s="65">
        <v>1</v>
      </c>
      <c r="H323" s="65">
        <f>ROUND((F323/G323),2)</f>
        <v>1</v>
      </c>
      <c r="I323" s="65">
        <v>173</v>
      </c>
      <c r="J323" s="65">
        <v>0</v>
      </c>
      <c r="K323" s="66">
        <v>0</v>
      </c>
      <c r="L323" s="66">
        <v>0.01</v>
      </c>
      <c r="M323" s="66">
        <v>0.01</v>
      </c>
      <c r="N323" s="65">
        <v>4</v>
      </c>
      <c r="O323" s="65">
        <v>6</v>
      </c>
      <c r="P323" s="65">
        <v>20</v>
      </c>
      <c r="Q323" s="65">
        <v>1</v>
      </c>
      <c r="R323" s="72">
        <v>1</v>
      </c>
      <c r="S323" s="65">
        <v>2</v>
      </c>
      <c r="T323" s="72">
        <v>4</v>
      </c>
      <c r="U323" s="72">
        <v>4</v>
      </c>
      <c r="V323" s="108">
        <f>ROUND((R323*N323+T323*L323+Q323*D323),4)</f>
        <v>5.04</v>
      </c>
      <c r="W323" s="109">
        <f>ROUND((S323*O323+U323*L323+Q323*D323),4)</f>
        <v>13.04</v>
      </c>
      <c r="X323" s="109">
        <f>ROUND((S323*P323+U323*L323+Q323*D323),4)</f>
        <v>41.04</v>
      </c>
      <c r="Y323" s="109">
        <f>ROUND((T323*M323+Q323*E323),4)</f>
        <v>1.04</v>
      </c>
      <c r="Z323" s="109">
        <f>ROUND((U323*M323+Q323*E323),4)</f>
        <v>1.04</v>
      </c>
      <c r="AA323" s="109">
        <f>ROUND((U323*M323+Q323*E323),4)</f>
        <v>1.04</v>
      </c>
      <c r="AB323" s="109">
        <f>ROUND((H323*(V323+Y323)*G323*I323/1000000),4)</f>
        <v>1.1000000000000001E-3</v>
      </c>
      <c r="AC323" s="109">
        <f>ROUND((H323*(W323+Z323)*G323*J323/1000000),4)</f>
        <v>0</v>
      </c>
      <c r="AD323" s="109">
        <f>ROUND((H323*(X323+AA323)*G323*K323/1000000),4)</f>
        <v>0</v>
      </c>
      <c r="AE323" s="73" t="s">
        <v>48</v>
      </c>
      <c r="AF323" s="74" t="s">
        <v>49</v>
      </c>
      <c r="AG323" s="75">
        <f>ROUND(((X323*F323/3600)*0.8),4)</f>
        <v>9.1000000000000004E-3</v>
      </c>
      <c r="AH323" s="75">
        <f>ROUND(((AB323+AC323+AD323)*0.8),4)</f>
        <v>8.9999999999999998E-4</v>
      </c>
    </row>
    <row r="324" spans="1:36" ht="12.95" customHeight="1" x14ac:dyDescent="0.25">
      <c r="A324" s="570" t="s">
        <v>166</v>
      </c>
      <c r="B324" s="67" t="s">
        <v>212</v>
      </c>
      <c r="C324" s="1129"/>
      <c r="D324" s="67"/>
      <c r="E324" s="67"/>
      <c r="F324" s="67"/>
      <c r="G324" s="67"/>
      <c r="H324" s="67"/>
      <c r="I324" s="67"/>
      <c r="J324" s="67"/>
      <c r="K324" s="67"/>
      <c r="L324" s="68"/>
      <c r="M324" s="68"/>
      <c r="N324" s="67"/>
      <c r="O324" s="67"/>
      <c r="P324" s="67"/>
      <c r="Q324" s="69"/>
      <c r="R324" s="69"/>
      <c r="S324" s="70"/>
      <c r="T324" s="69"/>
      <c r="U324" s="69"/>
      <c r="V324" s="110"/>
      <c r="W324" s="111"/>
      <c r="X324" s="111"/>
      <c r="Y324" s="111"/>
      <c r="Z324" s="111"/>
      <c r="AA324" s="111"/>
      <c r="AB324" s="111"/>
      <c r="AC324" s="111"/>
      <c r="AD324" s="111"/>
      <c r="AE324" s="73" t="s">
        <v>51</v>
      </c>
      <c r="AF324" s="74" t="s">
        <v>52</v>
      </c>
      <c r="AG324" s="75">
        <f>ROUND(((X323*F323/3600)*0.13),4)</f>
        <v>1.5E-3</v>
      </c>
      <c r="AH324" s="75">
        <f>ROUND(((AB323+AC323+AD323)*0.13),4)</f>
        <v>1E-4</v>
      </c>
    </row>
    <row r="325" spans="1:36" ht="12.95" customHeight="1" x14ac:dyDescent="0.25">
      <c r="A325" s="571"/>
      <c r="B325" s="76" t="s">
        <v>491</v>
      </c>
      <c r="C325" s="76"/>
      <c r="D325" s="67"/>
      <c r="E325" s="67"/>
      <c r="F325" s="67"/>
      <c r="G325" s="67"/>
      <c r="H325" s="67"/>
      <c r="I325" s="67"/>
      <c r="J325" s="67"/>
      <c r="K325" s="67"/>
      <c r="L325" s="68"/>
      <c r="M325" s="68"/>
      <c r="N325" s="67"/>
      <c r="O325" s="67"/>
      <c r="P325" s="67"/>
      <c r="Q325" s="75">
        <v>0.1</v>
      </c>
      <c r="R325" s="78">
        <v>0.113</v>
      </c>
      <c r="S325" s="79">
        <v>0.13600000000000001</v>
      </c>
      <c r="T325" s="78">
        <v>0.54</v>
      </c>
      <c r="U325" s="78">
        <v>0.67</v>
      </c>
      <c r="V325" s="108">
        <f>ROUND((R325*N323+T325*L323+Q325*D323),4)</f>
        <v>0.55740000000000001</v>
      </c>
      <c r="W325" s="109">
        <f>ROUND((S325*0.9*O323+U325*0.9*L323+Q325*D323),4)</f>
        <v>0.84040000000000004</v>
      </c>
      <c r="X325" s="109">
        <f>ROUND((S325*P323+U325*L323+Q325*D323),4)</f>
        <v>2.8267000000000002</v>
      </c>
      <c r="Y325" s="109">
        <f>ROUND((T325*M323+Q325*E323),4)</f>
        <v>0.10539999999999999</v>
      </c>
      <c r="Z325" s="109">
        <f>ROUND((U325*0.9*M323+Q325*E323),4)</f>
        <v>0.106</v>
      </c>
      <c r="AA325" s="109">
        <f>ROUND((U325*M323+Q325*E323),4)</f>
        <v>0.1067</v>
      </c>
      <c r="AB325" s="109">
        <f>ROUND((H323*(V325+Y325)*G323*I323/1000000),5)</f>
        <v>1.1E-4</v>
      </c>
      <c r="AC325" s="109">
        <f>ROUND((H323*(W325+Z325)*G323*J323/1000000),5)</f>
        <v>0</v>
      </c>
      <c r="AD325" s="109">
        <f>ROUND((H323*(X325+AA325)*G323*K323/1000000),5)</f>
        <v>0</v>
      </c>
      <c r="AE325" s="73" t="s">
        <v>56</v>
      </c>
      <c r="AF325" s="74" t="s">
        <v>57</v>
      </c>
      <c r="AG325" s="75">
        <f>ROUND(((X325*F323/3600)),4)</f>
        <v>8.0000000000000004E-4</v>
      </c>
      <c r="AH325" s="75">
        <f>AB325+AC325+AD325</f>
        <v>1.1E-4</v>
      </c>
    </row>
    <row r="326" spans="1:36" ht="12.95" customHeight="1" x14ac:dyDescent="0.25">
      <c r="A326" s="571"/>
      <c r="B326" s="132"/>
      <c r="C326" s="67"/>
      <c r="D326" s="67"/>
      <c r="E326" s="67"/>
      <c r="F326" s="67"/>
      <c r="G326" s="67"/>
      <c r="H326" s="67"/>
      <c r="I326" s="67"/>
      <c r="J326" s="67"/>
      <c r="K326" s="67"/>
      <c r="L326" s="68"/>
      <c r="M326" s="68"/>
      <c r="N326" s="67"/>
      <c r="O326" s="67"/>
      <c r="P326" s="67"/>
      <c r="Q326" s="75">
        <v>0.45</v>
      </c>
      <c r="R326" s="78">
        <v>0.4</v>
      </c>
      <c r="S326" s="75">
        <v>1.1000000000000001</v>
      </c>
      <c r="T326" s="78">
        <v>1</v>
      </c>
      <c r="U326" s="78">
        <v>1.2</v>
      </c>
      <c r="V326" s="108">
        <f>ROUND((R326*N323+T326*L323+Q326*D323),4)</f>
        <v>2.06</v>
      </c>
      <c r="W326" s="109">
        <f>ROUND((S326*0.9*O323+U326*0.9*L323+Q326*D323),4)</f>
        <v>6.4008000000000003</v>
      </c>
      <c r="X326" s="109">
        <f>ROUND((S326*P323+U326*L323+Q326*D323),4)</f>
        <v>22.462</v>
      </c>
      <c r="Y326" s="109">
        <f>ROUND((T326*M323+Q326*E323),4)</f>
        <v>0.46</v>
      </c>
      <c r="Z326" s="109">
        <f>ROUND((U326*0.9*M323+Q326*E323),4)</f>
        <v>0.46079999999999999</v>
      </c>
      <c r="AA326" s="109">
        <f>ROUND((U326*M323+Q326*E323),4)</f>
        <v>0.46200000000000002</v>
      </c>
      <c r="AB326" s="109">
        <f>ROUND((H323*(V326+Y326)*G323*I323/1000000),4)</f>
        <v>4.0000000000000002E-4</v>
      </c>
      <c r="AC326" s="109">
        <f>ROUND((H323*(W326+Z326)*G323*J323/1000000),4)</f>
        <v>0</v>
      </c>
      <c r="AD326" s="109">
        <f>ROUND((H323*(X326+AA326)*G323*K323/1000000),4)</f>
        <v>0</v>
      </c>
      <c r="AE326" s="73" t="s">
        <v>177</v>
      </c>
      <c r="AF326" s="74" t="s">
        <v>178</v>
      </c>
      <c r="AG326" s="75">
        <f>ROUND(((X326*F323/3600)),4)</f>
        <v>6.1999999999999998E-3</v>
      </c>
      <c r="AH326" s="75">
        <f>AB326+AC326+AD326</f>
        <v>4.0000000000000002E-4</v>
      </c>
    </row>
    <row r="327" spans="1:36" ht="12.95" customHeight="1" x14ac:dyDescent="0.25">
      <c r="A327" s="572"/>
      <c r="B327" s="67"/>
      <c r="C327" s="67"/>
      <c r="D327" s="67"/>
      <c r="E327" s="67"/>
      <c r="F327" s="67"/>
      <c r="G327" s="67"/>
      <c r="H327" s="67"/>
      <c r="I327" s="67"/>
      <c r="J327" s="67"/>
      <c r="K327" s="67"/>
      <c r="L327" s="68"/>
      <c r="M327" s="68"/>
      <c r="N327" s="67"/>
      <c r="O327" s="67"/>
      <c r="P327" s="67"/>
      <c r="Q327" s="75">
        <v>2.9</v>
      </c>
      <c r="R327" s="78">
        <v>3</v>
      </c>
      <c r="S327" s="75">
        <v>8.1999999999999993</v>
      </c>
      <c r="T327" s="78">
        <v>6.1</v>
      </c>
      <c r="U327" s="78">
        <v>7.4</v>
      </c>
      <c r="V327" s="167">
        <f>ROUND((R327*N323+T327*L323+Q327*D323),4)</f>
        <v>14.961</v>
      </c>
      <c r="W327" s="168">
        <f>ROUND((S327*0.9*O323+U327*0.9*L323+Q327*D323),4)</f>
        <v>47.246600000000001</v>
      </c>
      <c r="X327" s="168">
        <f>ROUND((S327*P323+U327*L323+Q327*D323),4)</f>
        <v>166.97399999999999</v>
      </c>
      <c r="Y327" s="168">
        <f>ROUND((T327*M323+Q327*E323),4)</f>
        <v>2.9609999999999999</v>
      </c>
      <c r="Z327" s="168">
        <f>ROUND((U327*0.9*M323+Q327*E323),4)</f>
        <v>2.9666000000000001</v>
      </c>
      <c r="AA327" s="168">
        <f>ROUND((U327*M323+Q327*E323),4)</f>
        <v>2.9740000000000002</v>
      </c>
      <c r="AB327" s="168">
        <f>ROUND((H323*(V327+Y327)*G323*I323/1000000),4)</f>
        <v>3.0999999999999999E-3</v>
      </c>
      <c r="AC327" s="168">
        <f>ROUND((H323*(W327+Z327)*G323*J323/1000000),4)</f>
        <v>0</v>
      </c>
      <c r="AD327" s="168">
        <f>ROUND((H323*(X327+AA327)*G323*K323/1000000),4)</f>
        <v>0</v>
      </c>
      <c r="AE327" s="73" t="s">
        <v>65</v>
      </c>
      <c r="AF327" s="74" t="s">
        <v>66</v>
      </c>
      <c r="AG327" s="75">
        <f>ROUND(((X327*F323/3600)),4)</f>
        <v>4.6399999999999997E-2</v>
      </c>
      <c r="AH327" s="75">
        <f>AB327+AC327+AD327</f>
        <v>3.0999999999999999E-3</v>
      </c>
    </row>
    <row r="328" spans="1:36" ht="12.95" customHeight="1" x14ac:dyDescent="0.25">
      <c r="A328" s="573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70"/>
      <c r="M328" s="70"/>
      <c r="N328" s="69"/>
      <c r="O328" s="69"/>
      <c r="P328" s="69"/>
      <c r="Q328" s="75">
        <v>0.04</v>
      </c>
      <c r="R328" s="78">
        <v>0.04</v>
      </c>
      <c r="S328" s="75">
        <v>0.16</v>
      </c>
      <c r="T328" s="78">
        <v>0.3</v>
      </c>
      <c r="U328" s="78">
        <v>0.4</v>
      </c>
      <c r="V328" s="167">
        <f>ROUND((R328*N323+T328*L323+Q328*D323),4)</f>
        <v>0.20300000000000001</v>
      </c>
      <c r="W328" s="168">
        <f>ROUND((S328*0.9*O323+U328*0.9*L323+Q328*D323),4)</f>
        <v>0.90759999999999996</v>
      </c>
      <c r="X328" s="168">
        <f>ROUND((S328*P323+U328*L323+Q328*D323),4)</f>
        <v>3.2440000000000002</v>
      </c>
      <c r="Y328" s="168">
        <f>ROUND((T328*M323+Q328*E323),4)</f>
        <v>4.2999999999999997E-2</v>
      </c>
      <c r="Z328" s="168">
        <f>ROUND((U328*0.9*M323+Q328*E323),4)</f>
        <v>4.36E-2</v>
      </c>
      <c r="AA328" s="168">
        <f>ROUND((U328*M323+Q328*E323),4)</f>
        <v>4.3999999999999997E-2</v>
      </c>
      <c r="AB328" s="168">
        <f>ROUND((H323*(V328+Y328)*G323*I323/1000000),5)</f>
        <v>4.0000000000000003E-5</v>
      </c>
      <c r="AC328" s="168">
        <f>ROUND((H323*(W328+Z328)*G323*J323/1000000),5)</f>
        <v>0</v>
      </c>
      <c r="AD328" s="168">
        <f>ROUND((H323*(X328+AA328)*G323*K323/1000000),4)</f>
        <v>0</v>
      </c>
      <c r="AE328" s="73" t="s">
        <v>213</v>
      </c>
      <c r="AF328" s="74" t="s">
        <v>62</v>
      </c>
      <c r="AG328" s="75">
        <f>ROUND(((X328*F323/3600)),4)</f>
        <v>8.9999999999999998E-4</v>
      </c>
      <c r="AH328" s="75">
        <f>AB328+AC328+AD328</f>
        <v>4.0000000000000003E-5</v>
      </c>
      <c r="AI328" s="61">
        <f>SUM(AG323:AG328)</f>
        <v>6.4899999999999999E-2</v>
      </c>
      <c r="AJ328" s="61">
        <f>SUM(AH323:AH328)</f>
        <v>4.6499999999999996E-3</v>
      </c>
    </row>
    <row r="329" spans="1:36" ht="12.95" customHeight="1" x14ac:dyDescent="0.25">
      <c r="A329" s="1522" t="s">
        <v>510</v>
      </c>
      <c r="B329" s="1523"/>
      <c r="C329" s="1523"/>
      <c r="D329" s="1523"/>
      <c r="E329" s="1523"/>
      <c r="F329" s="1523"/>
      <c r="G329" s="1523"/>
      <c r="H329" s="1523"/>
      <c r="I329" s="1523"/>
      <c r="J329" s="1523"/>
      <c r="K329" s="1523"/>
      <c r="L329" s="1523"/>
      <c r="M329" s="1523"/>
      <c r="N329" s="1523"/>
      <c r="O329" s="1523"/>
      <c r="P329" s="1523"/>
      <c r="Q329" s="1523"/>
      <c r="R329" s="1523"/>
      <c r="S329" s="1523"/>
      <c r="T329" s="1524"/>
      <c r="U329" s="1524"/>
      <c r="V329" s="1523"/>
      <c r="W329" s="1523"/>
      <c r="X329" s="1523"/>
      <c r="Y329" s="1523"/>
      <c r="Z329" s="1523"/>
      <c r="AA329" s="1523"/>
      <c r="AB329" s="1523"/>
      <c r="AC329" s="1523"/>
      <c r="AD329" s="1523"/>
      <c r="AE329" s="1523"/>
      <c r="AF329" s="1523"/>
      <c r="AG329" s="1523"/>
      <c r="AH329" s="1525"/>
    </row>
    <row r="330" spans="1:36" ht="12.95" customHeight="1" x14ac:dyDescent="0.25">
      <c r="A330" s="506" t="s">
        <v>501</v>
      </c>
      <c r="B330" s="71" t="s">
        <v>211</v>
      </c>
      <c r="C330" s="1128" t="s">
        <v>444</v>
      </c>
      <c r="D330" s="65">
        <v>1</v>
      </c>
      <c r="E330" s="65">
        <v>1</v>
      </c>
      <c r="F330" s="65">
        <v>1</v>
      </c>
      <c r="G330" s="65">
        <v>1</v>
      </c>
      <c r="H330" s="65">
        <f>ROUND((F330/G330),2)</f>
        <v>1</v>
      </c>
      <c r="I330" s="65">
        <v>173</v>
      </c>
      <c r="J330" s="65">
        <v>0</v>
      </c>
      <c r="K330" s="66">
        <v>0</v>
      </c>
      <c r="L330" s="66">
        <v>0.01</v>
      </c>
      <c r="M330" s="66">
        <v>0.01</v>
      </c>
      <c r="N330" s="65">
        <v>4</v>
      </c>
      <c r="O330" s="65">
        <v>6</v>
      </c>
      <c r="P330" s="65">
        <v>20</v>
      </c>
      <c r="Q330" s="65">
        <v>1</v>
      </c>
      <c r="R330" s="72">
        <v>1</v>
      </c>
      <c r="S330" s="65">
        <v>2</v>
      </c>
      <c r="T330" s="72">
        <v>4</v>
      </c>
      <c r="U330" s="72">
        <v>4</v>
      </c>
      <c r="V330" s="108">
        <f>ROUND((R330*N330+T330*L330+Q330*D330),4)</f>
        <v>5.04</v>
      </c>
      <c r="W330" s="109">
        <f>ROUND((S330*O330+U330*L330+Q330*D330),4)</f>
        <v>13.04</v>
      </c>
      <c r="X330" s="109">
        <f>ROUND((S330*P330+U330*L330+Q330*D330),4)</f>
        <v>41.04</v>
      </c>
      <c r="Y330" s="109">
        <f>ROUND((T330*M330+Q330*E330),4)</f>
        <v>1.04</v>
      </c>
      <c r="Z330" s="109">
        <f>ROUND((U330*M330+Q330*E330),4)</f>
        <v>1.04</v>
      </c>
      <c r="AA330" s="109">
        <f>ROUND((U330*M330+Q330*E330),4)</f>
        <v>1.04</v>
      </c>
      <c r="AB330" s="109">
        <f>ROUND((H330*(V330+Y330)*G330*I330/1000000),4)</f>
        <v>1.1000000000000001E-3</v>
      </c>
      <c r="AC330" s="109">
        <f>ROUND((H330*(W330+Z330)*G330*J330/1000000),4)</f>
        <v>0</v>
      </c>
      <c r="AD330" s="109">
        <f>ROUND((H330*(X330+AA330)*G330*K330/1000000),4)</f>
        <v>0</v>
      </c>
      <c r="AE330" s="73" t="s">
        <v>48</v>
      </c>
      <c r="AF330" s="74" t="s">
        <v>49</v>
      </c>
      <c r="AG330" s="75">
        <f>ROUND(((X330*F330/3600)*0.8),4)</f>
        <v>9.1000000000000004E-3</v>
      </c>
      <c r="AH330" s="75">
        <f>ROUND(((AB330+AC330+AD330)*0.8),4)</f>
        <v>8.9999999999999998E-4</v>
      </c>
    </row>
    <row r="331" spans="1:36" ht="12.95" customHeight="1" x14ac:dyDescent="0.25">
      <c r="A331" s="570" t="s">
        <v>166</v>
      </c>
      <c r="B331" s="67" t="s">
        <v>212</v>
      </c>
      <c r="C331" s="1129"/>
      <c r="D331" s="67"/>
      <c r="E331" s="67"/>
      <c r="F331" s="67"/>
      <c r="G331" s="67"/>
      <c r="H331" s="67"/>
      <c r="I331" s="67"/>
      <c r="J331" s="67"/>
      <c r="K331" s="67"/>
      <c r="L331" s="68"/>
      <c r="M331" s="68"/>
      <c r="N331" s="67"/>
      <c r="O331" s="67"/>
      <c r="P331" s="67"/>
      <c r="Q331" s="69"/>
      <c r="R331" s="69"/>
      <c r="S331" s="70"/>
      <c r="T331" s="69"/>
      <c r="U331" s="69"/>
      <c r="V331" s="110"/>
      <c r="W331" s="111"/>
      <c r="X331" s="111"/>
      <c r="Y331" s="111"/>
      <c r="Z331" s="111"/>
      <c r="AA331" s="111"/>
      <c r="AB331" s="111"/>
      <c r="AC331" s="111"/>
      <c r="AD331" s="111"/>
      <c r="AE331" s="73" t="s">
        <v>51</v>
      </c>
      <c r="AF331" s="74" t="s">
        <v>52</v>
      </c>
      <c r="AG331" s="75">
        <f>ROUND(((X330*F330/3600)*0.13),4)</f>
        <v>1.5E-3</v>
      </c>
      <c r="AH331" s="75">
        <f>ROUND(((AB330+AC330+AD330)*0.13),4)</f>
        <v>1E-4</v>
      </c>
    </row>
    <row r="332" spans="1:36" ht="12.95" customHeight="1" x14ac:dyDescent="0.25">
      <c r="A332" s="571"/>
      <c r="B332" s="76" t="s">
        <v>491</v>
      </c>
      <c r="C332" s="76"/>
      <c r="D332" s="67"/>
      <c r="E332" s="67"/>
      <c r="F332" s="67"/>
      <c r="G332" s="67"/>
      <c r="H332" s="67"/>
      <c r="I332" s="67"/>
      <c r="J332" s="67"/>
      <c r="K332" s="67"/>
      <c r="L332" s="68"/>
      <c r="M332" s="68"/>
      <c r="N332" s="67"/>
      <c r="O332" s="67"/>
      <c r="P332" s="67"/>
      <c r="Q332" s="75">
        <v>0.1</v>
      </c>
      <c r="R332" s="78">
        <v>0.113</v>
      </c>
      <c r="S332" s="79">
        <v>0.13600000000000001</v>
      </c>
      <c r="T332" s="78">
        <v>0.54</v>
      </c>
      <c r="U332" s="78">
        <v>0.67</v>
      </c>
      <c r="V332" s="108">
        <f>ROUND((R332*N330+T332*L330+Q332*D330),4)</f>
        <v>0.55740000000000001</v>
      </c>
      <c r="W332" s="109">
        <f>ROUND((S332*0.9*O330+U332*0.9*L330+Q332*D330),4)</f>
        <v>0.84040000000000004</v>
      </c>
      <c r="X332" s="109">
        <f>ROUND((S332*P330+U332*L330+Q332*D330),4)</f>
        <v>2.8267000000000002</v>
      </c>
      <c r="Y332" s="109">
        <f>ROUND((T332*M330+Q332*E330),4)</f>
        <v>0.10539999999999999</v>
      </c>
      <c r="Z332" s="109">
        <f>ROUND((U332*0.9*M330+Q332*E330),4)</f>
        <v>0.106</v>
      </c>
      <c r="AA332" s="109">
        <f>ROUND((U332*M330+Q332*E330),4)</f>
        <v>0.1067</v>
      </c>
      <c r="AB332" s="109">
        <f>ROUND((H330*(V332+Y332)*G330*I330/1000000),5)</f>
        <v>1.1E-4</v>
      </c>
      <c r="AC332" s="109">
        <f>ROUND((H330*(W332+Z332)*G330*J330/1000000),5)</f>
        <v>0</v>
      </c>
      <c r="AD332" s="109">
        <f>ROUND((H330*(X332+AA332)*G330*K330/1000000),5)</f>
        <v>0</v>
      </c>
      <c r="AE332" s="73" t="s">
        <v>56</v>
      </c>
      <c r="AF332" s="74" t="s">
        <v>57</v>
      </c>
      <c r="AG332" s="75">
        <f>ROUND(((X332*F330/3600)),4)</f>
        <v>8.0000000000000004E-4</v>
      </c>
      <c r="AH332" s="75">
        <f>AB332+AC332+AD332</f>
        <v>1.1E-4</v>
      </c>
    </row>
    <row r="333" spans="1:36" ht="12.95" customHeight="1" x14ac:dyDescent="0.25">
      <c r="A333" s="571"/>
      <c r="B333" s="132"/>
      <c r="C333" s="67"/>
      <c r="D333" s="67"/>
      <c r="E333" s="67"/>
      <c r="F333" s="67"/>
      <c r="G333" s="67"/>
      <c r="H333" s="67"/>
      <c r="I333" s="67"/>
      <c r="J333" s="67"/>
      <c r="K333" s="67"/>
      <c r="L333" s="68"/>
      <c r="M333" s="68"/>
      <c r="N333" s="67"/>
      <c r="O333" s="67"/>
      <c r="P333" s="67"/>
      <c r="Q333" s="75">
        <v>0.45</v>
      </c>
      <c r="R333" s="78">
        <v>0.4</v>
      </c>
      <c r="S333" s="75">
        <v>1.1000000000000001</v>
      </c>
      <c r="T333" s="78">
        <v>1</v>
      </c>
      <c r="U333" s="78">
        <v>1.2</v>
      </c>
      <c r="V333" s="108">
        <f>ROUND((R333*N330+T333*L330+Q333*D330),4)</f>
        <v>2.06</v>
      </c>
      <c r="W333" s="109">
        <f>ROUND((S333*0.9*O330+U333*0.9*L330+Q333*D330),4)</f>
        <v>6.4008000000000003</v>
      </c>
      <c r="X333" s="109">
        <f>ROUND((S333*P330+U333*L330+Q333*D330),4)</f>
        <v>22.462</v>
      </c>
      <c r="Y333" s="109">
        <f>ROUND((T333*M330+Q333*E330),4)</f>
        <v>0.46</v>
      </c>
      <c r="Z333" s="109">
        <f>ROUND((U333*0.9*M330+Q333*E330),4)</f>
        <v>0.46079999999999999</v>
      </c>
      <c r="AA333" s="109">
        <f>ROUND((U333*M330+Q333*E330),4)</f>
        <v>0.46200000000000002</v>
      </c>
      <c r="AB333" s="109">
        <f>ROUND((H330*(V333+Y333)*G330*I330/1000000),4)</f>
        <v>4.0000000000000002E-4</v>
      </c>
      <c r="AC333" s="109">
        <f>ROUND((H330*(W333+Z333)*G330*J330/1000000),4)</f>
        <v>0</v>
      </c>
      <c r="AD333" s="109">
        <f>ROUND((H330*(X333+AA333)*G330*K330/1000000),4)</f>
        <v>0</v>
      </c>
      <c r="AE333" s="73" t="s">
        <v>177</v>
      </c>
      <c r="AF333" s="74" t="s">
        <v>178</v>
      </c>
      <c r="AG333" s="75">
        <f>ROUND(((X333*F330/3600)),4)</f>
        <v>6.1999999999999998E-3</v>
      </c>
      <c r="AH333" s="75">
        <f>AB333+AC333+AD333</f>
        <v>4.0000000000000002E-4</v>
      </c>
    </row>
    <row r="334" spans="1:36" ht="12.95" customHeight="1" x14ac:dyDescent="0.25">
      <c r="A334" s="572"/>
      <c r="B334" s="67"/>
      <c r="C334" s="67"/>
      <c r="D334" s="67"/>
      <c r="E334" s="67"/>
      <c r="F334" s="67"/>
      <c r="G334" s="67"/>
      <c r="H334" s="67"/>
      <c r="I334" s="67"/>
      <c r="J334" s="67"/>
      <c r="K334" s="67"/>
      <c r="L334" s="68"/>
      <c r="M334" s="68"/>
      <c r="N334" s="67"/>
      <c r="O334" s="67"/>
      <c r="P334" s="67"/>
      <c r="Q334" s="75">
        <v>2.9</v>
      </c>
      <c r="R334" s="78">
        <v>3</v>
      </c>
      <c r="S334" s="75">
        <v>8.1999999999999993</v>
      </c>
      <c r="T334" s="78">
        <v>6.1</v>
      </c>
      <c r="U334" s="78">
        <v>7.4</v>
      </c>
      <c r="V334" s="167">
        <f>ROUND((R334*N330+T334*L330+Q334*D330),4)</f>
        <v>14.961</v>
      </c>
      <c r="W334" s="168">
        <f>ROUND((S334*0.9*O330+U334*0.9*L330+Q334*D330),4)</f>
        <v>47.246600000000001</v>
      </c>
      <c r="X334" s="168">
        <f>ROUND((S334*P330+U334*L330+Q334*D330),4)</f>
        <v>166.97399999999999</v>
      </c>
      <c r="Y334" s="168">
        <f>ROUND((T334*M330+Q334*E330),4)</f>
        <v>2.9609999999999999</v>
      </c>
      <c r="Z334" s="168">
        <f>ROUND((U334*0.9*M330+Q334*E330),4)</f>
        <v>2.9666000000000001</v>
      </c>
      <c r="AA334" s="168">
        <f>ROUND((U334*M330+Q334*E330),4)</f>
        <v>2.9740000000000002</v>
      </c>
      <c r="AB334" s="168">
        <f>ROUND((H330*(V334+Y334)*G330*I330/1000000),4)</f>
        <v>3.0999999999999999E-3</v>
      </c>
      <c r="AC334" s="168">
        <f>ROUND((H330*(W334+Z334)*G330*J330/1000000),4)</f>
        <v>0</v>
      </c>
      <c r="AD334" s="168">
        <f>ROUND((H330*(X334+AA334)*G330*K330/1000000),4)</f>
        <v>0</v>
      </c>
      <c r="AE334" s="73" t="s">
        <v>65</v>
      </c>
      <c r="AF334" s="74" t="s">
        <v>66</v>
      </c>
      <c r="AG334" s="75">
        <f>ROUND(((X334*F330/3600)),4)</f>
        <v>4.6399999999999997E-2</v>
      </c>
      <c r="AH334" s="75">
        <f>AB334+AC334+AD334</f>
        <v>3.0999999999999999E-3</v>
      </c>
    </row>
    <row r="335" spans="1:36" ht="12.95" customHeight="1" x14ac:dyDescent="0.25">
      <c r="A335" s="573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70"/>
      <c r="M335" s="70"/>
      <c r="N335" s="69"/>
      <c r="O335" s="69"/>
      <c r="P335" s="69"/>
      <c r="Q335" s="75">
        <v>0.04</v>
      </c>
      <c r="R335" s="78">
        <v>0.04</v>
      </c>
      <c r="S335" s="75">
        <v>0.16</v>
      </c>
      <c r="T335" s="78">
        <v>0.3</v>
      </c>
      <c r="U335" s="78">
        <v>0.4</v>
      </c>
      <c r="V335" s="167">
        <f>ROUND((R335*N330+T335*L330+Q335*D330),4)</f>
        <v>0.20300000000000001</v>
      </c>
      <c r="W335" s="168">
        <f>ROUND((S335*0.9*O330+U335*0.9*L330+Q335*D330),4)</f>
        <v>0.90759999999999996</v>
      </c>
      <c r="X335" s="168">
        <f>ROUND((S335*P330+U335*L330+Q335*D330),4)</f>
        <v>3.2440000000000002</v>
      </c>
      <c r="Y335" s="168">
        <f>ROUND((T335*M330+Q335*E330),4)</f>
        <v>4.2999999999999997E-2</v>
      </c>
      <c r="Z335" s="168">
        <f>ROUND((U335*0.9*M330+Q335*E330),4)</f>
        <v>4.36E-2</v>
      </c>
      <c r="AA335" s="168">
        <f>ROUND((U335*M330+Q335*E330),4)</f>
        <v>4.3999999999999997E-2</v>
      </c>
      <c r="AB335" s="168">
        <f>ROUND((H330*(V335+Y335)*G330*I330/1000000),5)</f>
        <v>4.0000000000000003E-5</v>
      </c>
      <c r="AC335" s="168">
        <f>ROUND((H330*(W335+Z335)*G330*J330/1000000),5)</f>
        <v>0</v>
      </c>
      <c r="AD335" s="168">
        <f>ROUND((H330*(X335+AA335)*G330*K330/1000000),4)</f>
        <v>0</v>
      </c>
      <c r="AE335" s="73" t="s">
        <v>213</v>
      </c>
      <c r="AF335" s="74" t="s">
        <v>62</v>
      </c>
      <c r="AG335" s="75">
        <f>ROUND(((X335*F330/3600)),4)</f>
        <v>8.9999999999999998E-4</v>
      </c>
      <c r="AH335" s="75">
        <f>AB335+AC335+AD335</f>
        <v>4.0000000000000003E-5</v>
      </c>
      <c r="AI335" s="61">
        <f>SUM(AG330:AG335)</f>
        <v>6.4899999999999999E-2</v>
      </c>
      <c r="AJ335" s="61">
        <f>SUM(AH330:AH335)</f>
        <v>4.6499999999999996E-3</v>
      </c>
    </row>
    <row r="336" spans="1:36" ht="12.95" customHeight="1" x14ac:dyDescent="0.25">
      <c r="A336" s="1522" t="s">
        <v>513</v>
      </c>
      <c r="B336" s="1523"/>
      <c r="C336" s="1523"/>
      <c r="D336" s="1523"/>
      <c r="E336" s="1523"/>
      <c r="F336" s="1523"/>
      <c r="G336" s="1523"/>
      <c r="H336" s="1523"/>
      <c r="I336" s="1523"/>
      <c r="J336" s="1523"/>
      <c r="K336" s="1523"/>
      <c r="L336" s="1523"/>
      <c r="M336" s="1523"/>
      <c r="N336" s="1523"/>
      <c r="O336" s="1523"/>
      <c r="P336" s="1523"/>
      <c r="Q336" s="1523"/>
      <c r="R336" s="1523"/>
      <c r="S336" s="1523"/>
      <c r="T336" s="1524"/>
      <c r="U336" s="1524"/>
      <c r="V336" s="1523"/>
      <c r="W336" s="1523"/>
      <c r="X336" s="1523"/>
      <c r="Y336" s="1523"/>
      <c r="Z336" s="1523"/>
      <c r="AA336" s="1523"/>
      <c r="AB336" s="1523"/>
      <c r="AC336" s="1523"/>
      <c r="AD336" s="1523"/>
      <c r="AE336" s="1523"/>
      <c r="AF336" s="1523"/>
      <c r="AG336" s="1523"/>
      <c r="AH336" s="1525"/>
    </row>
    <row r="337" spans="1:36" ht="12.95" customHeight="1" x14ac:dyDescent="0.25">
      <c r="A337" s="506" t="s">
        <v>503</v>
      </c>
      <c r="B337" s="71" t="s">
        <v>211</v>
      </c>
      <c r="C337" s="1128" t="s">
        <v>444</v>
      </c>
      <c r="D337" s="65">
        <v>1</v>
      </c>
      <c r="E337" s="65">
        <v>1</v>
      </c>
      <c r="F337" s="65">
        <v>1</v>
      </c>
      <c r="G337" s="65">
        <v>1</v>
      </c>
      <c r="H337" s="65">
        <f>ROUND((F337/G337),2)</f>
        <v>1</v>
      </c>
      <c r="I337" s="65">
        <v>173</v>
      </c>
      <c r="J337" s="65">
        <v>0</v>
      </c>
      <c r="K337" s="66">
        <v>0</v>
      </c>
      <c r="L337" s="66">
        <v>0.01</v>
      </c>
      <c r="M337" s="66">
        <v>0.01</v>
      </c>
      <c r="N337" s="65">
        <v>4</v>
      </c>
      <c r="O337" s="65">
        <v>6</v>
      </c>
      <c r="P337" s="65">
        <v>20</v>
      </c>
      <c r="Q337" s="65">
        <v>1</v>
      </c>
      <c r="R337" s="72">
        <v>1</v>
      </c>
      <c r="S337" s="65">
        <v>2</v>
      </c>
      <c r="T337" s="72">
        <v>4</v>
      </c>
      <c r="U337" s="72">
        <v>4</v>
      </c>
      <c r="V337" s="108">
        <f>ROUND((R337*N337+T337*L337+Q337*D337),4)</f>
        <v>5.04</v>
      </c>
      <c r="W337" s="109">
        <f>ROUND((S337*O337+U337*L337+Q337*D337),4)</f>
        <v>13.04</v>
      </c>
      <c r="X337" s="109">
        <f>ROUND((S337*P337+U337*L337+Q337*D337),4)</f>
        <v>41.04</v>
      </c>
      <c r="Y337" s="109">
        <f>ROUND((T337*M337+Q337*E337),4)</f>
        <v>1.04</v>
      </c>
      <c r="Z337" s="109">
        <f>ROUND((U337*M337+Q337*E337),4)</f>
        <v>1.04</v>
      </c>
      <c r="AA337" s="109">
        <f>ROUND((U337*M337+Q337*E337),4)</f>
        <v>1.04</v>
      </c>
      <c r="AB337" s="109">
        <f>ROUND((H337*(V337+Y337)*G337*I337/1000000),4)</f>
        <v>1.1000000000000001E-3</v>
      </c>
      <c r="AC337" s="109">
        <f>ROUND((H337*(W337+Z337)*G337*J337/1000000),4)</f>
        <v>0</v>
      </c>
      <c r="AD337" s="109">
        <f>ROUND((H337*(X337+AA337)*G337*K337/1000000),4)</f>
        <v>0</v>
      </c>
      <c r="AE337" s="73" t="s">
        <v>48</v>
      </c>
      <c r="AF337" s="74" t="s">
        <v>49</v>
      </c>
      <c r="AG337" s="75">
        <f>ROUND(((X337*F337/3600)*0.8),4)</f>
        <v>9.1000000000000004E-3</v>
      </c>
      <c r="AH337" s="75">
        <f>ROUND(((AB337+AC337+AD337)*0.8),4)</f>
        <v>8.9999999999999998E-4</v>
      </c>
    </row>
    <row r="338" spans="1:36" ht="12.95" customHeight="1" x14ac:dyDescent="0.25">
      <c r="A338" s="570" t="s">
        <v>166</v>
      </c>
      <c r="B338" s="67" t="s">
        <v>212</v>
      </c>
      <c r="C338" s="1129"/>
      <c r="D338" s="67"/>
      <c r="E338" s="67"/>
      <c r="F338" s="67"/>
      <c r="G338" s="67"/>
      <c r="H338" s="67"/>
      <c r="I338" s="67"/>
      <c r="J338" s="67"/>
      <c r="K338" s="67"/>
      <c r="L338" s="68"/>
      <c r="M338" s="68"/>
      <c r="N338" s="67"/>
      <c r="O338" s="67"/>
      <c r="P338" s="67"/>
      <c r="Q338" s="69"/>
      <c r="R338" s="69"/>
      <c r="S338" s="70"/>
      <c r="T338" s="69"/>
      <c r="U338" s="69"/>
      <c r="V338" s="110"/>
      <c r="W338" s="111"/>
      <c r="X338" s="111"/>
      <c r="Y338" s="111"/>
      <c r="Z338" s="111"/>
      <c r="AA338" s="111"/>
      <c r="AB338" s="111"/>
      <c r="AC338" s="111"/>
      <c r="AD338" s="111"/>
      <c r="AE338" s="73" t="s">
        <v>51</v>
      </c>
      <c r="AF338" s="74" t="s">
        <v>52</v>
      </c>
      <c r="AG338" s="75">
        <f>ROUND(((X337*F337/3600)*0.13),4)</f>
        <v>1.5E-3</v>
      </c>
      <c r="AH338" s="75">
        <f>ROUND(((AB337+AC337+AD337)*0.13),4)</f>
        <v>1E-4</v>
      </c>
    </row>
    <row r="339" spans="1:36" ht="12.95" customHeight="1" x14ac:dyDescent="0.25">
      <c r="A339" s="571"/>
      <c r="B339" s="76" t="s">
        <v>491</v>
      </c>
      <c r="C339" s="76"/>
      <c r="D339" s="67"/>
      <c r="E339" s="67"/>
      <c r="F339" s="67"/>
      <c r="G339" s="67"/>
      <c r="H339" s="67"/>
      <c r="I339" s="67"/>
      <c r="J339" s="67"/>
      <c r="K339" s="67"/>
      <c r="L339" s="68"/>
      <c r="M339" s="68"/>
      <c r="N339" s="67"/>
      <c r="O339" s="67"/>
      <c r="P339" s="67"/>
      <c r="Q339" s="75">
        <v>0.1</v>
      </c>
      <c r="R339" s="78">
        <v>0.113</v>
      </c>
      <c r="S339" s="79">
        <v>0.13600000000000001</v>
      </c>
      <c r="T339" s="78">
        <v>0.54</v>
      </c>
      <c r="U339" s="78">
        <v>0.67</v>
      </c>
      <c r="V339" s="108">
        <f>ROUND((R339*N337+T339*L337+Q339*D337),4)</f>
        <v>0.55740000000000001</v>
      </c>
      <c r="W339" s="109">
        <f>ROUND((S339*0.9*O337+U339*0.9*L337+Q339*D337),4)</f>
        <v>0.84040000000000004</v>
      </c>
      <c r="X339" s="109">
        <f>ROUND((S339*P337+U339*L337+Q339*D337),4)</f>
        <v>2.8267000000000002</v>
      </c>
      <c r="Y339" s="109">
        <f>ROUND((T339*M337+Q339*E337),4)</f>
        <v>0.10539999999999999</v>
      </c>
      <c r="Z339" s="109">
        <f>ROUND((U339*0.9*M337+Q339*E337),4)</f>
        <v>0.106</v>
      </c>
      <c r="AA339" s="109">
        <f>ROUND((U339*M337+Q339*E337),4)</f>
        <v>0.1067</v>
      </c>
      <c r="AB339" s="109">
        <f>ROUND((H337*(V339+Y339)*G337*I337/1000000),5)</f>
        <v>1.1E-4</v>
      </c>
      <c r="AC339" s="109">
        <f>ROUND((H337*(W339+Z339)*G337*J337/1000000),5)</f>
        <v>0</v>
      </c>
      <c r="AD339" s="109">
        <f>ROUND((H337*(X339+AA339)*G337*K337/1000000),5)</f>
        <v>0</v>
      </c>
      <c r="AE339" s="73" t="s">
        <v>56</v>
      </c>
      <c r="AF339" s="74" t="s">
        <v>57</v>
      </c>
      <c r="AG339" s="75">
        <f>ROUND(((X339*F337/3600)),4)</f>
        <v>8.0000000000000004E-4</v>
      </c>
      <c r="AH339" s="75">
        <f>AB339+AC339+AD339</f>
        <v>1.1E-4</v>
      </c>
    </row>
    <row r="340" spans="1:36" ht="12.95" customHeight="1" x14ac:dyDescent="0.25">
      <c r="A340" s="571"/>
      <c r="B340" s="132"/>
      <c r="C340" s="67"/>
      <c r="D340" s="67"/>
      <c r="E340" s="67"/>
      <c r="F340" s="67"/>
      <c r="G340" s="67"/>
      <c r="H340" s="67"/>
      <c r="I340" s="67"/>
      <c r="J340" s="67"/>
      <c r="K340" s="67"/>
      <c r="L340" s="68"/>
      <c r="M340" s="68"/>
      <c r="N340" s="67"/>
      <c r="O340" s="67"/>
      <c r="P340" s="67"/>
      <c r="Q340" s="75">
        <v>0.45</v>
      </c>
      <c r="R340" s="78">
        <v>0.4</v>
      </c>
      <c r="S340" s="75">
        <v>1.1000000000000001</v>
      </c>
      <c r="T340" s="78">
        <v>1</v>
      </c>
      <c r="U340" s="78">
        <v>1.2</v>
      </c>
      <c r="V340" s="108">
        <f>ROUND((R340*N337+T340*L337+Q340*D337),4)</f>
        <v>2.06</v>
      </c>
      <c r="W340" s="109">
        <f>ROUND((S340*0.9*O337+U340*0.9*L337+Q340*D337),4)</f>
        <v>6.4008000000000003</v>
      </c>
      <c r="X340" s="109">
        <f>ROUND((S340*P337+U340*L337+Q340*D337),4)</f>
        <v>22.462</v>
      </c>
      <c r="Y340" s="109">
        <f>ROUND((T340*M337+Q340*E337),4)</f>
        <v>0.46</v>
      </c>
      <c r="Z340" s="109">
        <f>ROUND((U340*0.9*M337+Q340*E337),4)</f>
        <v>0.46079999999999999</v>
      </c>
      <c r="AA340" s="109">
        <f>ROUND((U340*M337+Q340*E337),4)</f>
        <v>0.46200000000000002</v>
      </c>
      <c r="AB340" s="109">
        <f>ROUND((H337*(V340+Y340)*G337*I337/1000000),4)</f>
        <v>4.0000000000000002E-4</v>
      </c>
      <c r="AC340" s="109">
        <f>ROUND((H337*(W340+Z340)*G337*J337/1000000),4)</f>
        <v>0</v>
      </c>
      <c r="AD340" s="109">
        <f>ROUND((H337*(X340+AA340)*G337*K337/1000000),4)</f>
        <v>0</v>
      </c>
      <c r="AE340" s="73" t="s">
        <v>177</v>
      </c>
      <c r="AF340" s="74" t="s">
        <v>178</v>
      </c>
      <c r="AG340" s="75">
        <f>ROUND(((X340*F337/3600)),4)</f>
        <v>6.1999999999999998E-3</v>
      </c>
      <c r="AH340" s="75">
        <f>AB340+AC340+AD340</f>
        <v>4.0000000000000002E-4</v>
      </c>
    </row>
    <row r="341" spans="1:36" ht="12.95" customHeight="1" x14ac:dyDescent="0.25">
      <c r="A341" s="572"/>
      <c r="B341" s="67"/>
      <c r="C341" s="67"/>
      <c r="D341" s="67"/>
      <c r="E341" s="67"/>
      <c r="F341" s="67"/>
      <c r="G341" s="67"/>
      <c r="H341" s="67"/>
      <c r="I341" s="67"/>
      <c r="J341" s="67"/>
      <c r="K341" s="67"/>
      <c r="L341" s="68"/>
      <c r="M341" s="68"/>
      <c r="N341" s="67"/>
      <c r="O341" s="67"/>
      <c r="P341" s="67"/>
      <c r="Q341" s="75">
        <v>2.9</v>
      </c>
      <c r="R341" s="78">
        <v>3</v>
      </c>
      <c r="S341" s="75">
        <v>8.1999999999999993</v>
      </c>
      <c r="T341" s="78">
        <v>6.1</v>
      </c>
      <c r="U341" s="78">
        <v>7.4</v>
      </c>
      <c r="V341" s="167">
        <f>ROUND((R341*N337+T341*L337+Q341*D337),4)</f>
        <v>14.961</v>
      </c>
      <c r="W341" s="168">
        <f>ROUND((S341*0.9*O337+U341*0.9*L337+Q341*D337),4)</f>
        <v>47.246600000000001</v>
      </c>
      <c r="X341" s="168">
        <f>ROUND((S341*P337+U341*L337+Q341*D337),4)</f>
        <v>166.97399999999999</v>
      </c>
      <c r="Y341" s="168">
        <f>ROUND((T341*M337+Q341*E337),4)</f>
        <v>2.9609999999999999</v>
      </c>
      <c r="Z341" s="168">
        <f>ROUND((U341*0.9*M337+Q341*E337),4)</f>
        <v>2.9666000000000001</v>
      </c>
      <c r="AA341" s="168">
        <f>ROUND((U341*M337+Q341*E337),4)</f>
        <v>2.9740000000000002</v>
      </c>
      <c r="AB341" s="168">
        <f>ROUND((H337*(V341+Y341)*G337*I337/1000000),4)</f>
        <v>3.0999999999999999E-3</v>
      </c>
      <c r="AC341" s="168">
        <f>ROUND((H337*(W341+Z341)*G337*J337/1000000),4)</f>
        <v>0</v>
      </c>
      <c r="AD341" s="168">
        <f>ROUND((H337*(X341+AA341)*G337*K337/1000000),4)</f>
        <v>0</v>
      </c>
      <c r="AE341" s="73" t="s">
        <v>65</v>
      </c>
      <c r="AF341" s="74" t="s">
        <v>66</v>
      </c>
      <c r="AG341" s="75">
        <f>ROUND(((X341*F337/3600)),4)</f>
        <v>4.6399999999999997E-2</v>
      </c>
      <c r="AH341" s="75">
        <f>AB341+AC341+AD341</f>
        <v>3.0999999999999999E-3</v>
      </c>
    </row>
    <row r="342" spans="1:36" ht="12.95" customHeight="1" x14ac:dyDescent="0.25">
      <c r="A342" s="573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70"/>
      <c r="M342" s="70"/>
      <c r="N342" s="69"/>
      <c r="O342" s="69"/>
      <c r="P342" s="69"/>
      <c r="Q342" s="75">
        <v>0.04</v>
      </c>
      <c r="R342" s="78">
        <v>0.04</v>
      </c>
      <c r="S342" s="75">
        <v>0.16</v>
      </c>
      <c r="T342" s="78">
        <v>0.3</v>
      </c>
      <c r="U342" s="78">
        <v>0.4</v>
      </c>
      <c r="V342" s="167">
        <f>ROUND((R342*N337+T342*L337+Q342*D337),4)</f>
        <v>0.20300000000000001</v>
      </c>
      <c r="W342" s="168">
        <f>ROUND((S342*0.9*O337+U342*0.9*L337+Q342*D337),4)</f>
        <v>0.90759999999999996</v>
      </c>
      <c r="X342" s="168">
        <f>ROUND((S342*P337+U342*L337+Q342*D337),4)</f>
        <v>3.2440000000000002</v>
      </c>
      <c r="Y342" s="168">
        <f>ROUND((T342*M337+Q342*E337),4)</f>
        <v>4.2999999999999997E-2</v>
      </c>
      <c r="Z342" s="168">
        <f>ROUND((U342*0.9*M337+Q342*E337),4)</f>
        <v>4.36E-2</v>
      </c>
      <c r="AA342" s="168">
        <f>ROUND((U342*M337+Q342*E337),4)</f>
        <v>4.3999999999999997E-2</v>
      </c>
      <c r="AB342" s="168">
        <f>ROUND((H337*(V342+Y342)*G337*I337/1000000),5)</f>
        <v>4.0000000000000003E-5</v>
      </c>
      <c r="AC342" s="168">
        <f>ROUND((H337*(W342+Z342)*G337*J337/1000000),5)</f>
        <v>0</v>
      </c>
      <c r="AD342" s="168">
        <f>ROUND((H337*(X342+AA342)*G337*K337/1000000),4)</f>
        <v>0</v>
      </c>
      <c r="AE342" s="73" t="s">
        <v>213</v>
      </c>
      <c r="AF342" s="74" t="s">
        <v>62</v>
      </c>
      <c r="AG342" s="75">
        <f>ROUND(((X342*F337/3600)),4)</f>
        <v>8.9999999999999998E-4</v>
      </c>
      <c r="AH342" s="75">
        <f>AB342+AC342+AD342</f>
        <v>4.0000000000000003E-5</v>
      </c>
      <c r="AI342" s="61">
        <f>SUM(AG337:AG342)</f>
        <v>6.4899999999999999E-2</v>
      </c>
      <c r="AJ342" s="61">
        <f>SUM(AH337:AH342)</f>
        <v>4.6499999999999996E-3</v>
      </c>
    </row>
    <row r="343" spans="1:36" ht="12.95" customHeight="1" x14ac:dyDescent="0.25">
      <c r="A343" s="1522" t="s">
        <v>516</v>
      </c>
      <c r="B343" s="1523"/>
      <c r="C343" s="1523"/>
      <c r="D343" s="1523"/>
      <c r="E343" s="1523"/>
      <c r="F343" s="1523"/>
      <c r="G343" s="1523"/>
      <c r="H343" s="1523"/>
      <c r="I343" s="1523"/>
      <c r="J343" s="1523"/>
      <c r="K343" s="1523"/>
      <c r="L343" s="1523"/>
      <c r="M343" s="1523"/>
      <c r="N343" s="1523"/>
      <c r="O343" s="1523"/>
      <c r="P343" s="1523"/>
      <c r="Q343" s="1523"/>
      <c r="R343" s="1523"/>
      <c r="S343" s="1523"/>
      <c r="T343" s="1524"/>
      <c r="U343" s="1524"/>
      <c r="V343" s="1523"/>
      <c r="W343" s="1523"/>
      <c r="X343" s="1523"/>
      <c r="Y343" s="1523"/>
      <c r="Z343" s="1523"/>
      <c r="AA343" s="1523"/>
      <c r="AB343" s="1523"/>
      <c r="AC343" s="1523"/>
      <c r="AD343" s="1523"/>
      <c r="AE343" s="1523"/>
      <c r="AF343" s="1523"/>
      <c r="AG343" s="1523"/>
      <c r="AH343" s="1525"/>
    </row>
    <row r="344" spans="1:36" ht="12.95" customHeight="1" x14ac:dyDescent="0.25">
      <c r="A344" s="506" t="s">
        <v>505</v>
      </c>
      <c r="B344" s="71" t="s">
        <v>211</v>
      </c>
      <c r="C344" s="1128" t="s">
        <v>444</v>
      </c>
      <c r="D344" s="65">
        <v>1</v>
      </c>
      <c r="E344" s="65">
        <v>1</v>
      </c>
      <c r="F344" s="65">
        <v>1</v>
      </c>
      <c r="G344" s="65">
        <v>1</v>
      </c>
      <c r="H344" s="65">
        <f>ROUND((F344/G344),2)</f>
        <v>1</v>
      </c>
      <c r="I344" s="65">
        <v>173</v>
      </c>
      <c r="J344" s="65">
        <v>0</v>
      </c>
      <c r="K344" s="66">
        <v>0</v>
      </c>
      <c r="L344" s="66">
        <v>0.01</v>
      </c>
      <c r="M344" s="66">
        <v>0.01</v>
      </c>
      <c r="N344" s="65">
        <v>4</v>
      </c>
      <c r="O344" s="65">
        <v>6</v>
      </c>
      <c r="P344" s="65">
        <v>20</v>
      </c>
      <c r="Q344" s="65">
        <v>1</v>
      </c>
      <c r="R344" s="72">
        <v>1</v>
      </c>
      <c r="S344" s="65">
        <v>2</v>
      </c>
      <c r="T344" s="72">
        <v>4</v>
      </c>
      <c r="U344" s="72">
        <v>4</v>
      </c>
      <c r="V344" s="108">
        <f>ROUND((R344*N344+T344*L344+Q344*D344),4)</f>
        <v>5.04</v>
      </c>
      <c r="W344" s="109">
        <f>ROUND((S344*O344+U344*L344+Q344*D344),4)</f>
        <v>13.04</v>
      </c>
      <c r="X344" s="109">
        <f>ROUND((S344*P344+U344*L344+Q344*D344),4)</f>
        <v>41.04</v>
      </c>
      <c r="Y344" s="109">
        <f>ROUND((T344*M344+Q344*E344),4)</f>
        <v>1.04</v>
      </c>
      <c r="Z344" s="109">
        <f>ROUND((U344*M344+Q344*E344),4)</f>
        <v>1.04</v>
      </c>
      <c r="AA344" s="109">
        <f>ROUND((U344*M344+Q344*E344),4)</f>
        <v>1.04</v>
      </c>
      <c r="AB344" s="109">
        <f>ROUND((H344*(V344+Y344)*G344*I344/1000000),4)</f>
        <v>1.1000000000000001E-3</v>
      </c>
      <c r="AC344" s="109">
        <f>ROUND((H344*(W344+Z344)*G344*J344/1000000),4)</f>
        <v>0</v>
      </c>
      <c r="AD344" s="109">
        <f>ROUND((H344*(X344+AA344)*G344*K344/1000000),4)</f>
        <v>0</v>
      </c>
      <c r="AE344" s="73" t="s">
        <v>48</v>
      </c>
      <c r="AF344" s="74" t="s">
        <v>49</v>
      </c>
      <c r="AG344" s="75">
        <f>ROUND(((X344*F344/3600)*0.8),4)</f>
        <v>9.1000000000000004E-3</v>
      </c>
      <c r="AH344" s="75">
        <f>ROUND(((AB344+AC344+AD344)*0.8),4)</f>
        <v>8.9999999999999998E-4</v>
      </c>
    </row>
    <row r="345" spans="1:36" ht="12.95" customHeight="1" x14ac:dyDescent="0.25">
      <c r="A345" s="570" t="s">
        <v>166</v>
      </c>
      <c r="B345" s="67" t="s">
        <v>212</v>
      </c>
      <c r="C345" s="1129"/>
      <c r="D345" s="67"/>
      <c r="E345" s="67"/>
      <c r="F345" s="67"/>
      <c r="G345" s="67"/>
      <c r="H345" s="67"/>
      <c r="I345" s="67"/>
      <c r="J345" s="67"/>
      <c r="K345" s="67"/>
      <c r="L345" s="68"/>
      <c r="M345" s="68"/>
      <c r="N345" s="67"/>
      <c r="O345" s="67"/>
      <c r="P345" s="67"/>
      <c r="Q345" s="69"/>
      <c r="R345" s="69"/>
      <c r="S345" s="70"/>
      <c r="T345" s="69"/>
      <c r="U345" s="69"/>
      <c r="V345" s="110"/>
      <c r="W345" s="111"/>
      <c r="X345" s="111"/>
      <c r="Y345" s="111"/>
      <c r="Z345" s="111"/>
      <c r="AA345" s="111"/>
      <c r="AB345" s="111"/>
      <c r="AC345" s="111"/>
      <c r="AD345" s="111"/>
      <c r="AE345" s="73" t="s">
        <v>51</v>
      </c>
      <c r="AF345" s="74" t="s">
        <v>52</v>
      </c>
      <c r="AG345" s="75">
        <f>ROUND(((X344*F344/3600)*0.13),4)</f>
        <v>1.5E-3</v>
      </c>
      <c r="AH345" s="75">
        <f>ROUND(((AB344+AC344+AD344)*0.13),4)</f>
        <v>1E-4</v>
      </c>
    </row>
    <row r="346" spans="1:36" ht="12.95" customHeight="1" x14ac:dyDescent="0.25">
      <c r="A346" s="571"/>
      <c r="B346" s="76" t="s">
        <v>491</v>
      </c>
      <c r="C346" s="76"/>
      <c r="D346" s="67"/>
      <c r="E346" s="67"/>
      <c r="F346" s="67"/>
      <c r="G346" s="67"/>
      <c r="H346" s="67"/>
      <c r="I346" s="67"/>
      <c r="J346" s="67"/>
      <c r="K346" s="67"/>
      <c r="L346" s="68"/>
      <c r="M346" s="68"/>
      <c r="N346" s="67"/>
      <c r="O346" s="67"/>
      <c r="P346" s="67"/>
      <c r="Q346" s="75">
        <v>0.1</v>
      </c>
      <c r="R346" s="78">
        <v>0.113</v>
      </c>
      <c r="S346" s="79">
        <v>0.13600000000000001</v>
      </c>
      <c r="T346" s="78">
        <v>0.54</v>
      </c>
      <c r="U346" s="78">
        <v>0.67</v>
      </c>
      <c r="V346" s="108">
        <f>ROUND((R346*N344+T346*L344+Q346*D344),4)</f>
        <v>0.55740000000000001</v>
      </c>
      <c r="W346" s="109">
        <f>ROUND((S346*0.9*O344+U346*0.9*L344+Q346*D344),4)</f>
        <v>0.84040000000000004</v>
      </c>
      <c r="X346" s="109">
        <f>ROUND((S346*P344+U346*L344+Q346*D344),4)</f>
        <v>2.8267000000000002</v>
      </c>
      <c r="Y346" s="109">
        <f>ROUND((T346*M344+Q346*E344),4)</f>
        <v>0.10539999999999999</v>
      </c>
      <c r="Z346" s="109">
        <f>ROUND((U346*0.9*M344+Q346*E344),4)</f>
        <v>0.106</v>
      </c>
      <c r="AA346" s="109">
        <f>ROUND((U346*M344+Q346*E344),4)</f>
        <v>0.1067</v>
      </c>
      <c r="AB346" s="109">
        <f>ROUND((H344*(V346+Y346)*G344*I344/1000000),5)</f>
        <v>1.1E-4</v>
      </c>
      <c r="AC346" s="109">
        <f>ROUND((H344*(W346+Z346)*G344*J344/1000000),5)</f>
        <v>0</v>
      </c>
      <c r="AD346" s="109">
        <f>ROUND((H344*(X346+AA346)*G344*K344/1000000),5)</f>
        <v>0</v>
      </c>
      <c r="AE346" s="73" t="s">
        <v>56</v>
      </c>
      <c r="AF346" s="74" t="s">
        <v>57</v>
      </c>
      <c r="AG346" s="75">
        <f>ROUND(((X346*F344/3600)),4)</f>
        <v>8.0000000000000004E-4</v>
      </c>
      <c r="AH346" s="75">
        <f>AB346+AC346+AD346</f>
        <v>1.1E-4</v>
      </c>
    </row>
    <row r="347" spans="1:36" ht="12.95" customHeight="1" x14ac:dyDescent="0.25">
      <c r="A347" s="571"/>
      <c r="B347" s="132"/>
      <c r="C347" s="67"/>
      <c r="D347" s="67"/>
      <c r="E347" s="67"/>
      <c r="F347" s="67"/>
      <c r="G347" s="67"/>
      <c r="H347" s="67"/>
      <c r="I347" s="67"/>
      <c r="J347" s="67"/>
      <c r="K347" s="67"/>
      <c r="L347" s="68"/>
      <c r="M347" s="68"/>
      <c r="N347" s="67"/>
      <c r="O347" s="67"/>
      <c r="P347" s="67"/>
      <c r="Q347" s="75">
        <v>0.45</v>
      </c>
      <c r="R347" s="78">
        <v>0.4</v>
      </c>
      <c r="S347" s="75">
        <v>1.1000000000000001</v>
      </c>
      <c r="T347" s="78">
        <v>1</v>
      </c>
      <c r="U347" s="78">
        <v>1.2</v>
      </c>
      <c r="V347" s="108">
        <f>ROUND((R347*N344+T347*L344+Q347*D344),4)</f>
        <v>2.06</v>
      </c>
      <c r="W347" s="109">
        <f>ROUND((S347*0.9*O344+U347*0.9*L344+Q347*D344),4)</f>
        <v>6.4008000000000003</v>
      </c>
      <c r="X347" s="109">
        <f>ROUND((S347*P344+U347*L344+Q347*D344),4)</f>
        <v>22.462</v>
      </c>
      <c r="Y347" s="109">
        <f>ROUND((T347*M344+Q347*E344),4)</f>
        <v>0.46</v>
      </c>
      <c r="Z347" s="109">
        <f>ROUND((U347*0.9*M344+Q347*E344),4)</f>
        <v>0.46079999999999999</v>
      </c>
      <c r="AA347" s="109">
        <f>ROUND((U347*M344+Q347*E344),4)</f>
        <v>0.46200000000000002</v>
      </c>
      <c r="AB347" s="109">
        <f>ROUND((H344*(V347+Y347)*G344*I344/1000000),4)</f>
        <v>4.0000000000000002E-4</v>
      </c>
      <c r="AC347" s="109">
        <f>ROUND((H344*(W347+Z347)*G344*J344/1000000),4)</f>
        <v>0</v>
      </c>
      <c r="AD347" s="109">
        <f>ROUND((H344*(X347+AA347)*G344*K344/1000000),4)</f>
        <v>0</v>
      </c>
      <c r="AE347" s="73" t="s">
        <v>177</v>
      </c>
      <c r="AF347" s="74" t="s">
        <v>178</v>
      </c>
      <c r="AG347" s="75">
        <f>ROUND(((X347*F344/3600)),4)</f>
        <v>6.1999999999999998E-3</v>
      </c>
      <c r="AH347" s="75">
        <f>AB347+AC347+AD347</f>
        <v>4.0000000000000002E-4</v>
      </c>
    </row>
    <row r="348" spans="1:36" ht="12.95" customHeight="1" x14ac:dyDescent="0.25">
      <c r="A348" s="572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8"/>
      <c r="M348" s="68"/>
      <c r="N348" s="67"/>
      <c r="O348" s="67"/>
      <c r="P348" s="67"/>
      <c r="Q348" s="75">
        <v>2.9</v>
      </c>
      <c r="R348" s="78">
        <v>3</v>
      </c>
      <c r="S348" s="75">
        <v>8.1999999999999993</v>
      </c>
      <c r="T348" s="78">
        <v>6.1</v>
      </c>
      <c r="U348" s="78">
        <v>7.4</v>
      </c>
      <c r="V348" s="167">
        <f>ROUND((R348*N344+T348*L344+Q348*D344),4)</f>
        <v>14.961</v>
      </c>
      <c r="W348" s="168">
        <f>ROUND((S348*0.9*O344+U348*0.9*L344+Q348*D344),4)</f>
        <v>47.246600000000001</v>
      </c>
      <c r="X348" s="168">
        <f>ROUND((S348*P344+U348*L344+Q348*D344),4)</f>
        <v>166.97399999999999</v>
      </c>
      <c r="Y348" s="168">
        <f>ROUND((T348*M344+Q348*E344),4)</f>
        <v>2.9609999999999999</v>
      </c>
      <c r="Z348" s="168">
        <f>ROUND((U348*0.9*M344+Q348*E344),4)</f>
        <v>2.9666000000000001</v>
      </c>
      <c r="AA348" s="168">
        <f>ROUND((U348*M344+Q348*E344),4)</f>
        <v>2.9740000000000002</v>
      </c>
      <c r="AB348" s="168">
        <f>ROUND((H344*(V348+Y348)*G344*I344/1000000),4)</f>
        <v>3.0999999999999999E-3</v>
      </c>
      <c r="AC348" s="168">
        <f>ROUND((H344*(W348+Z348)*G344*J344/1000000),4)</f>
        <v>0</v>
      </c>
      <c r="AD348" s="168">
        <f>ROUND((H344*(X348+AA348)*G344*K344/1000000),4)</f>
        <v>0</v>
      </c>
      <c r="AE348" s="73" t="s">
        <v>65</v>
      </c>
      <c r="AF348" s="74" t="s">
        <v>66</v>
      </c>
      <c r="AG348" s="75">
        <f>ROUND(((X348*F344/3600)),4)</f>
        <v>4.6399999999999997E-2</v>
      </c>
      <c r="AH348" s="75">
        <f>AB348+AC348+AD348</f>
        <v>3.0999999999999999E-3</v>
      </c>
    </row>
    <row r="349" spans="1:36" ht="12.95" customHeight="1" x14ac:dyDescent="0.25">
      <c r="A349" s="573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70"/>
      <c r="M349" s="70"/>
      <c r="N349" s="69"/>
      <c r="O349" s="69"/>
      <c r="P349" s="69"/>
      <c r="Q349" s="75">
        <v>0.04</v>
      </c>
      <c r="R349" s="78">
        <v>0.04</v>
      </c>
      <c r="S349" s="75">
        <v>0.16</v>
      </c>
      <c r="T349" s="78">
        <v>0.3</v>
      </c>
      <c r="U349" s="78">
        <v>0.4</v>
      </c>
      <c r="V349" s="167">
        <f>ROUND((R349*N344+T349*L344+Q349*D344),4)</f>
        <v>0.20300000000000001</v>
      </c>
      <c r="W349" s="168">
        <f>ROUND((S349*0.9*O344+U349*0.9*L344+Q349*D344),4)</f>
        <v>0.90759999999999996</v>
      </c>
      <c r="X349" s="168">
        <f>ROUND((S349*P344+U349*L344+Q349*D344),4)</f>
        <v>3.2440000000000002</v>
      </c>
      <c r="Y349" s="168">
        <f>ROUND((T349*M344+Q349*E344),4)</f>
        <v>4.2999999999999997E-2</v>
      </c>
      <c r="Z349" s="168">
        <f>ROUND((U349*0.9*M344+Q349*E344),4)</f>
        <v>4.36E-2</v>
      </c>
      <c r="AA349" s="168">
        <f>ROUND((U349*M344+Q349*E344),4)</f>
        <v>4.3999999999999997E-2</v>
      </c>
      <c r="AB349" s="168">
        <f>ROUND((H344*(V349+Y349)*G344*I344/1000000),5)</f>
        <v>4.0000000000000003E-5</v>
      </c>
      <c r="AC349" s="168">
        <f>ROUND((H344*(W349+Z349)*G344*J344/1000000),5)</f>
        <v>0</v>
      </c>
      <c r="AD349" s="168">
        <f>ROUND((H344*(X349+AA349)*G344*K344/1000000),4)</f>
        <v>0</v>
      </c>
      <c r="AE349" s="73" t="s">
        <v>213</v>
      </c>
      <c r="AF349" s="74" t="s">
        <v>62</v>
      </c>
      <c r="AG349" s="75">
        <f>ROUND(((X349*F344/3600)),4)</f>
        <v>8.9999999999999998E-4</v>
      </c>
      <c r="AH349" s="75">
        <f>AB349+AC349+AD349</f>
        <v>4.0000000000000003E-5</v>
      </c>
      <c r="AI349" s="61">
        <f>SUM(AG344:AG349)</f>
        <v>6.4899999999999999E-2</v>
      </c>
      <c r="AJ349" s="61">
        <f>SUM(AH344:AH349)</f>
        <v>4.6499999999999996E-3</v>
      </c>
    </row>
    <row r="350" spans="1:36" ht="12.95" customHeight="1" x14ac:dyDescent="0.25">
      <c r="A350" s="1522" t="s">
        <v>519</v>
      </c>
      <c r="B350" s="1523"/>
      <c r="C350" s="1523"/>
      <c r="D350" s="1523"/>
      <c r="E350" s="1523"/>
      <c r="F350" s="1523"/>
      <c r="G350" s="1523"/>
      <c r="H350" s="1523"/>
      <c r="I350" s="1523"/>
      <c r="J350" s="1523"/>
      <c r="K350" s="1523"/>
      <c r="L350" s="1523"/>
      <c r="M350" s="1523"/>
      <c r="N350" s="1523"/>
      <c r="O350" s="1523"/>
      <c r="P350" s="1523"/>
      <c r="Q350" s="1523"/>
      <c r="R350" s="1523"/>
      <c r="S350" s="1523"/>
      <c r="T350" s="1524"/>
      <c r="U350" s="1524"/>
      <c r="V350" s="1523"/>
      <c r="W350" s="1523"/>
      <c r="X350" s="1523"/>
      <c r="Y350" s="1523"/>
      <c r="Z350" s="1523"/>
      <c r="AA350" s="1523"/>
      <c r="AB350" s="1523"/>
      <c r="AC350" s="1523"/>
      <c r="AD350" s="1523"/>
      <c r="AE350" s="1523"/>
      <c r="AF350" s="1523"/>
      <c r="AG350" s="1523"/>
      <c r="AH350" s="1525"/>
    </row>
    <row r="351" spans="1:36" ht="12.95" customHeight="1" x14ac:dyDescent="0.25">
      <c r="A351" s="506" t="s">
        <v>509</v>
      </c>
      <c r="B351" s="71" t="s">
        <v>211</v>
      </c>
      <c r="C351" s="1128" t="s">
        <v>444</v>
      </c>
      <c r="D351" s="65">
        <v>1</v>
      </c>
      <c r="E351" s="65">
        <v>1</v>
      </c>
      <c r="F351" s="65">
        <v>1</v>
      </c>
      <c r="G351" s="65">
        <v>1</v>
      </c>
      <c r="H351" s="65">
        <f>ROUND((F351/G351),2)</f>
        <v>1</v>
      </c>
      <c r="I351" s="65">
        <v>173</v>
      </c>
      <c r="J351" s="65">
        <v>0</v>
      </c>
      <c r="K351" s="66">
        <v>0</v>
      </c>
      <c r="L351" s="66">
        <v>0.01</v>
      </c>
      <c r="M351" s="66">
        <v>0.01</v>
      </c>
      <c r="N351" s="65">
        <v>4</v>
      </c>
      <c r="O351" s="65">
        <v>6</v>
      </c>
      <c r="P351" s="65">
        <v>20</v>
      </c>
      <c r="Q351" s="65">
        <v>1</v>
      </c>
      <c r="R351" s="72">
        <v>1</v>
      </c>
      <c r="S351" s="65">
        <v>2</v>
      </c>
      <c r="T351" s="72">
        <v>4</v>
      </c>
      <c r="U351" s="72">
        <v>4</v>
      </c>
      <c r="V351" s="108">
        <f>ROUND((R351*N351+T351*L351+Q351*D351),4)</f>
        <v>5.04</v>
      </c>
      <c r="W351" s="109">
        <f>ROUND((S351*O351+U351*L351+Q351*D351),4)</f>
        <v>13.04</v>
      </c>
      <c r="X351" s="109">
        <f>ROUND((S351*P351+U351*L351+Q351*D351),4)</f>
        <v>41.04</v>
      </c>
      <c r="Y351" s="109">
        <f>ROUND((T351*M351+Q351*E351),4)</f>
        <v>1.04</v>
      </c>
      <c r="Z351" s="109">
        <f>ROUND((U351*M351+Q351*E351),4)</f>
        <v>1.04</v>
      </c>
      <c r="AA351" s="109">
        <f>ROUND((U351*M351+Q351*E351),4)</f>
        <v>1.04</v>
      </c>
      <c r="AB351" s="109">
        <f>ROUND((H351*(V351+Y351)*G351*I351/1000000),4)</f>
        <v>1.1000000000000001E-3</v>
      </c>
      <c r="AC351" s="109">
        <f>ROUND((H351*(W351+Z351)*G351*J351/1000000),4)</f>
        <v>0</v>
      </c>
      <c r="AD351" s="109">
        <f>ROUND((H351*(X351+AA351)*G351*K351/1000000),4)</f>
        <v>0</v>
      </c>
      <c r="AE351" s="73" t="s">
        <v>48</v>
      </c>
      <c r="AF351" s="74" t="s">
        <v>49</v>
      </c>
      <c r="AG351" s="75">
        <f>ROUND(((X351*F351/3600)*0.8),4)</f>
        <v>9.1000000000000004E-3</v>
      </c>
      <c r="AH351" s="75">
        <f>ROUND(((AB351+AC351+AD351)*0.8),4)</f>
        <v>8.9999999999999998E-4</v>
      </c>
    </row>
    <row r="352" spans="1:36" ht="12.95" customHeight="1" x14ac:dyDescent="0.25">
      <c r="A352" s="570" t="s">
        <v>166</v>
      </c>
      <c r="B352" s="67" t="s">
        <v>212</v>
      </c>
      <c r="C352" s="1129"/>
      <c r="D352" s="67"/>
      <c r="E352" s="67"/>
      <c r="F352" s="67"/>
      <c r="G352" s="67"/>
      <c r="H352" s="67"/>
      <c r="I352" s="67"/>
      <c r="J352" s="67"/>
      <c r="K352" s="67"/>
      <c r="L352" s="68"/>
      <c r="M352" s="68"/>
      <c r="N352" s="67"/>
      <c r="O352" s="67"/>
      <c r="P352" s="67"/>
      <c r="Q352" s="69"/>
      <c r="R352" s="69"/>
      <c r="S352" s="70"/>
      <c r="T352" s="69"/>
      <c r="U352" s="69"/>
      <c r="V352" s="110"/>
      <c r="W352" s="111"/>
      <c r="X352" s="111"/>
      <c r="Y352" s="111"/>
      <c r="Z352" s="111"/>
      <c r="AA352" s="111"/>
      <c r="AB352" s="111"/>
      <c r="AC352" s="111"/>
      <c r="AD352" s="111"/>
      <c r="AE352" s="73" t="s">
        <v>51</v>
      </c>
      <c r="AF352" s="74" t="s">
        <v>52</v>
      </c>
      <c r="AG352" s="75">
        <f>ROUND(((X351*F351/3600)*0.13),4)</f>
        <v>1.5E-3</v>
      </c>
      <c r="AH352" s="75">
        <f>ROUND(((AB351+AC351+AD351)*0.13),4)</f>
        <v>1E-4</v>
      </c>
    </row>
    <row r="353" spans="1:36" ht="12.95" customHeight="1" x14ac:dyDescent="0.25">
      <c r="A353" s="571"/>
      <c r="B353" s="76" t="s">
        <v>491</v>
      </c>
      <c r="C353" s="76"/>
      <c r="D353" s="67"/>
      <c r="E353" s="67"/>
      <c r="F353" s="67"/>
      <c r="G353" s="67"/>
      <c r="H353" s="67"/>
      <c r="I353" s="67"/>
      <c r="J353" s="67"/>
      <c r="K353" s="67"/>
      <c r="L353" s="68"/>
      <c r="M353" s="68"/>
      <c r="N353" s="67"/>
      <c r="O353" s="67"/>
      <c r="P353" s="67"/>
      <c r="Q353" s="75">
        <v>0.1</v>
      </c>
      <c r="R353" s="78">
        <v>0.113</v>
      </c>
      <c r="S353" s="79">
        <v>0.13600000000000001</v>
      </c>
      <c r="T353" s="78">
        <v>0.54</v>
      </c>
      <c r="U353" s="78">
        <v>0.67</v>
      </c>
      <c r="V353" s="108">
        <f>ROUND((R353*N351+T353*L351+Q353*D351),4)</f>
        <v>0.55740000000000001</v>
      </c>
      <c r="W353" s="109">
        <f>ROUND((S353*0.9*O351+U353*0.9*L351+Q353*D351),4)</f>
        <v>0.84040000000000004</v>
      </c>
      <c r="X353" s="109">
        <f>ROUND((S353*P351+U353*L351+Q353*D351),4)</f>
        <v>2.8267000000000002</v>
      </c>
      <c r="Y353" s="109">
        <f>ROUND((T353*M351+Q353*E351),4)</f>
        <v>0.10539999999999999</v>
      </c>
      <c r="Z353" s="109">
        <f>ROUND((U353*0.9*M351+Q353*E351),4)</f>
        <v>0.106</v>
      </c>
      <c r="AA353" s="109">
        <f>ROUND((U353*M351+Q353*E351),4)</f>
        <v>0.1067</v>
      </c>
      <c r="AB353" s="109">
        <f>ROUND((H351*(V353+Y353)*G351*I351/1000000),5)</f>
        <v>1.1E-4</v>
      </c>
      <c r="AC353" s="109">
        <f>ROUND((H351*(W353+Z353)*G351*J351/1000000),5)</f>
        <v>0</v>
      </c>
      <c r="AD353" s="109">
        <f>ROUND((H351*(X353+AA353)*G351*K351/1000000),5)</f>
        <v>0</v>
      </c>
      <c r="AE353" s="73" t="s">
        <v>56</v>
      </c>
      <c r="AF353" s="74" t="s">
        <v>57</v>
      </c>
      <c r="AG353" s="75">
        <f>ROUND(((X353*F351/3600)),4)</f>
        <v>8.0000000000000004E-4</v>
      </c>
      <c r="AH353" s="75">
        <f>AB353+AC353+AD353</f>
        <v>1.1E-4</v>
      </c>
    </row>
    <row r="354" spans="1:36" ht="12.95" customHeight="1" x14ac:dyDescent="0.25">
      <c r="A354" s="571"/>
      <c r="B354" s="132"/>
      <c r="C354" s="67"/>
      <c r="D354" s="67"/>
      <c r="E354" s="67"/>
      <c r="F354" s="67"/>
      <c r="G354" s="67"/>
      <c r="H354" s="67"/>
      <c r="I354" s="67"/>
      <c r="J354" s="67"/>
      <c r="K354" s="67"/>
      <c r="L354" s="68"/>
      <c r="M354" s="68"/>
      <c r="N354" s="67"/>
      <c r="O354" s="67"/>
      <c r="P354" s="67"/>
      <c r="Q354" s="75">
        <v>0.45</v>
      </c>
      <c r="R354" s="78">
        <v>0.4</v>
      </c>
      <c r="S354" s="75">
        <v>1.1000000000000001</v>
      </c>
      <c r="T354" s="78">
        <v>1</v>
      </c>
      <c r="U354" s="78">
        <v>1.2</v>
      </c>
      <c r="V354" s="108">
        <f>ROUND((R354*N351+T354*L351+Q354*D351),4)</f>
        <v>2.06</v>
      </c>
      <c r="W354" s="109">
        <f>ROUND((S354*0.9*O351+U354*0.9*L351+Q354*D351),4)</f>
        <v>6.4008000000000003</v>
      </c>
      <c r="X354" s="109">
        <f>ROUND((S354*P351+U354*L351+Q354*D351),4)</f>
        <v>22.462</v>
      </c>
      <c r="Y354" s="109">
        <f>ROUND((T354*M351+Q354*E351),4)</f>
        <v>0.46</v>
      </c>
      <c r="Z354" s="109">
        <f>ROUND((U354*0.9*M351+Q354*E351),4)</f>
        <v>0.46079999999999999</v>
      </c>
      <c r="AA354" s="109">
        <f>ROUND((U354*M351+Q354*E351),4)</f>
        <v>0.46200000000000002</v>
      </c>
      <c r="AB354" s="109">
        <f>ROUND((H351*(V354+Y354)*G351*I351/1000000),4)</f>
        <v>4.0000000000000002E-4</v>
      </c>
      <c r="AC354" s="109">
        <f>ROUND((H351*(W354+Z354)*G351*J351/1000000),4)</f>
        <v>0</v>
      </c>
      <c r="AD354" s="109">
        <f>ROUND((H351*(X354+AA354)*G351*K351/1000000),4)</f>
        <v>0</v>
      </c>
      <c r="AE354" s="73" t="s">
        <v>177</v>
      </c>
      <c r="AF354" s="74" t="s">
        <v>178</v>
      </c>
      <c r="AG354" s="75">
        <f>ROUND(((X354*F351/3600)),4)</f>
        <v>6.1999999999999998E-3</v>
      </c>
      <c r="AH354" s="75">
        <f>AB354+AC354+AD354</f>
        <v>4.0000000000000002E-4</v>
      </c>
    </row>
    <row r="355" spans="1:36" ht="12.95" customHeight="1" x14ac:dyDescent="0.25">
      <c r="A355" s="572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8"/>
      <c r="M355" s="68"/>
      <c r="N355" s="67"/>
      <c r="O355" s="67"/>
      <c r="P355" s="67"/>
      <c r="Q355" s="75">
        <v>2.9</v>
      </c>
      <c r="R355" s="78">
        <v>3</v>
      </c>
      <c r="S355" s="75">
        <v>8.1999999999999993</v>
      </c>
      <c r="T355" s="78">
        <v>6.1</v>
      </c>
      <c r="U355" s="78">
        <v>7.4</v>
      </c>
      <c r="V355" s="167">
        <f>ROUND((R355*N351+T355*L351+Q355*D351),4)</f>
        <v>14.961</v>
      </c>
      <c r="W355" s="168">
        <f>ROUND((S355*0.9*O351+U355*0.9*L351+Q355*D351),4)</f>
        <v>47.246600000000001</v>
      </c>
      <c r="X355" s="168">
        <f>ROUND((S355*P351+U355*L351+Q355*D351),4)</f>
        <v>166.97399999999999</v>
      </c>
      <c r="Y355" s="168">
        <f>ROUND((T355*M351+Q355*E351),4)</f>
        <v>2.9609999999999999</v>
      </c>
      <c r="Z355" s="168">
        <f>ROUND((U355*0.9*M351+Q355*E351),4)</f>
        <v>2.9666000000000001</v>
      </c>
      <c r="AA355" s="168">
        <f>ROUND((U355*M351+Q355*E351),4)</f>
        <v>2.9740000000000002</v>
      </c>
      <c r="AB355" s="168">
        <f>ROUND((H351*(V355+Y355)*G351*I351/1000000),4)</f>
        <v>3.0999999999999999E-3</v>
      </c>
      <c r="AC355" s="168">
        <f>ROUND((H351*(W355+Z355)*G351*J351/1000000),4)</f>
        <v>0</v>
      </c>
      <c r="AD355" s="168">
        <f>ROUND((H351*(X355+AA355)*G351*K351/1000000),4)</f>
        <v>0</v>
      </c>
      <c r="AE355" s="73" t="s">
        <v>65</v>
      </c>
      <c r="AF355" s="74" t="s">
        <v>66</v>
      </c>
      <c r="AG355" s="75">
        <f>ROUND(((X355*F351/3600)),4)</f>
        <v>4.6399999999999997E-2</v>
      </c>
      <c r="AH355" s="75">
        <f>AB355+AC355+AD355</f>
        <v>3.0999999999999999E-3</v>
      </c>
    </row>
    <row r="356" spans="1:36" ht="12.95" customHeight="1" x14ac:dyDescent="0.25">
      <c r="A356" s="573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70"/>
      <c r="M356" s="70"/>
      <c r="N356" s="69"/>
      <c r="O356" s="69"/>
      <c r="P356" s="69"/>
      <c r="Q356" s="75">
        <v>0.04</v>
      </c>
      <c r="R356" s="78">
        <v>0.04</v>
      </c>
      <c r="S356" s="75">
        <v>0.16</v>
      </c>
      <c r="T356" s="78">
        <v>0.3</v>
      </c>
      <c r="U356" s="78">
        <v>0.4</v>
      </c>
      <c r="V356" s="167">
        <f>ROUND((R356*N351+T356*L351+Q356*D351),4)</f>
        <v>0.20300000000000001</v>
      </c>
      <c r="W356" s="168">
        <f>ROUND((S356*0.9*O351+U356*0.9*L351+Q356*D351),4)</f>
        <v>0.90759999999999996</v>
      </c>
      <c r="X356" s="168">
        <f>ROUND((S356*P351+U356*L351+Q356*D351),4)</f>
        <v>3.2440000000000002</v>
      </c>
      <c r="Y356" s="168">
        <f>ROUND((T356*M351+Q356*E351),4)</f>
        <v>4.2999999999999997E-2</v>
      </c>
      <c r="Z356" s="168">
        <f>ROUND((U356*0.9*M351+Q356*E351),4)</f>
        <v>4.36E-2</v>
      </c>
      <c r="AA356" s="168">
        <f>ROUND((U356*M351+Q356*E351),4)</f>
        <v>4.3999999999999997E-2</v>
      </c>
      <c r="AB356" s="168">
        <f>ROUND((H351*(V356+Y356)*G351*I351/1000000),5)</f>
        <v>4.0000000000000003E-5</v>
      </c>
      <c r="AC356" s="168">
        <f>ROUND((H351*(W356+Z356)*G351*J351/1000000),5)</f>
        <v>0</v>
      </c>
      <c r="AD356" s="168">
        <f>ROUND((H351*(X356+AA356)*G351*K351/1000000),4)</f>
        <v>0</v>
      </c>
      <c r="AE356" s="73" t="s">
        <v>213</v>
      </c>
      <c r="AF356" s="74" t="s">
        <v>62</v>
      </c>
      <c r="AG356" s="75">
        <f>ROUND(((X356*F351/3600)),4)</f>
        <v>8.9999999999999998E-4</v>
      </c>
      <c r="AH356" s="75">
        <f>AB356+AC356+AD356</f>
        <v>4.0000000000000003E-5</v>
      </c>
      <c r="AI356" s="61">
        <f>SUM(AG351:AG356)</f>
        <v>6.4899999999999999E-2</v>
      </c>
      <c r="AJ356" s="61">
        <f>SUM(AH351:AH356)</f>
        <v>4.6499999999999996E-3</v>
      </c>
    </row>
    <row r="357" spans="1:36" ht="12.95" customHeight="1" x14ac:dyDescent="0.25">
      <c r="A357" s="1522" t="s">
        <v>523</v>
      </c>
      <c r="B357" s="1523"/>
      <c r="C357" s="1523"/>
      <c r="D357" s="1523"/>
      <c r="E357" s="1523"/>
      <c r="F357" s="1523"/>
      <c r="G357" s="1523"/>
      <c r="H357" s="1523"/>
      <c r="I357" s="1523"/>
      <c r="J357" s="1523"/>
      <c r="K357" s="1523"/>
      <c r="L357" s="1523"/>
      <c r="M357" s="1523"/>
      <c r="N357" s="1523"/>
      <c r="O357" s="1523"/>
      <c r="P357" s="1523"/>
      <c r="Q357" s="1523"/>
      <c r="R357" s="1523"/>
      <c r="S357" s="1523"/>
      <c r="T357" s="1524"/>
      <c r="U357" s="1524"/>
      <c r="V357" s="1523"/>
      <c r="W357" s="1523"/>
      <c r="X357" s="1523"/>
      <c r="Y357" s="1523"/>
      <c r="Z357" s="1523"/>
      <c r="AA357" s="1523"/>
      <c r="AB357" s="1523"/>
      <c r="AC357" s="1523"/>
      <c r="AD357" s="1523"/>
      <c r="AE357" s="1523"/>
      <c r="AF357" s="1523"/>
      <c r="AG357" s="1523"/>
      <c r="AH357" s="1525"/>
    </row>
    <row r="358" spans="1:36" ht="12.95" customHeight="1" x14ac:dyDescent="0.25">
      <c r="A358" s="506" t="s">
        <v>514</v>
      </c>
      <c r="B358" s="71" t="s">
        <v>211</v>
      </c>
      <c r="C358" s="1128" t="s">
        <v>444</v>
      </c>
      <c r="D358" s="65">
        <v>1</v>
      </c>
      <c r="E358" s="65">
        <v>1</v>
      </c>
      <c r="F358" s="65">
        <v>1</v>
      </c>
      <c r="G358" s="65">
        <v>2</v>
      </c>
      <c r="H358" s="65">
        <f>ROUND((F358/G358),2)</f>
        <v>0.5</v>
      </c>
      <c r="I358" s="65">
        <v>180</v>
      </c>
      <c r="J358" s="65">
        <v>90</v>
      </c>
      <c r="K358" s="66">
        <v>95</v>
      </c>
      <c r="L358" s="66">
        <v>0.01</v>
      </c>
      <c r="M358" s="66">
        <v>0.01</v>
      </c>
      <c r="N358" s="65">
        <v>4</v>
      </c>
      <c r="O358" s="65">
        <v>6</v>
      </c>
      <c r="P358" s="65">
        <v>20</v>
      </c>
      <c r="Q358" s="65">
        <v>1</v>
      </c>
      <c r="R358" s="72">
        <v>1</v>
      </c>
      <c r="S358" s="65">
        <v>2</v>
      </c>
      <c r="T358" s="72">
        <v>4</v>
      </c>
      <c r="U358" s="72">
        <v>4</v>
      </c>
      <c r="V358" s="108">
        <f>ROUND((R358*N358+T358*L358+Q358*D358),4)</f>
        <v>5.04</v>
      </c>
      <c r="W358" s="109">
        <f>ROUND((S358*O358+U358*L358+Q358*D358),4)</f>
        <v>13.04</v>
      </c>
      <c r="X358" s="109">
        <f>ROUND((S358*P358+U358*L358+Q358*D358),4)</f>
        <v>41.04</v>
      </c>
      <c r="Y358" s="109">
        <f>ROUND((T358*M358+Q358*E358),4)</f>
        <v>1.04</v>
      </c>
      <c r="Z358" s="109">
        <f>ROUND((U358*M358+Q358*E358),4)</f>
        <v>1.04</v>
      </c>
      <c r="AA358" s="109">
        <f>ROUND((U358*M358+Q358*E358),4)</f>
        <v>1.04</v>
      </c>
      <c r="AB358" s="109">
        <f>ROUND((H358*(V358+Y358)*G358*I358/1000000),4)</f>
        <v>1.1000000000000001E-3</v>
      </c>
      <c r="AC358" s="109">
        <f>ROUND((H358*(W358+Z358)*G358*J358/1000000),4)</f>
        <v>1.2999999999999999E-3</v>
      </c>
      <c r="AD358" s="109">
        <f>ROUND((H358*(X358+AA358)*G358*K358/1000000),4)</f>
        <v>4.0000000000000001E-3</v>
      </c>
      <c r="AE358" s="73" t="s">
        <v>48</v>
      </c>
      <c r="AF358" s="74" t="s">
        <v>49</v>
      </c>
      <c r="AG358" s="75">
        <f>ROUND(((X358*F358/3600)*0.8),4)</f>
        <v>9.1000000000000004E-3</v>
      </c>
      <c r="AH358" s="75">
        <f>ROUND(((AB358+AC358+AD358)*0.8),4)</f>
        <v>5.1000000000000004E-3</v>
      </c>
    </row>
    <row r="359" spans="1:36" ht="12.95" customHeight="1" x14ac:dyDescent="0.25">
      <c r="A359" s="570" t="s">
        <v>166</v>
      </c>
      <c r="B359" s="67" t="s">
        <v>212</v>
      </c>
      <c r="C359" s="1129"/>
      <c r="D359" s="67"/>
      <c r="E359" s="67"/>
      <c r="F359" s="67"/>
      <c r="G359" s="67"/>
      <c r="H359" s="67"/>
      <c r="I359" s="67"/>
      <c r="J359" s="67"/>
      <c r="K359" s="67"/>
      <c r="L359" s="68"/>
      <c r="M359" s="68"/>
      <c r="N359" s="67"/>
      <c r="O359" s="67"/>
      <c r="P359" s="67"/>
      <c r="Q359" s="69"/>
      <c r="R359" s="69"/>
      <c r="S359" s="70"/>
      <c r="T359" s="69"/>
      <c r="U359" s="69"/>
      <c r="V359" s="110"/>
      <c r="W359" s="111"/>
      <c r="X359" s="111"/>
      <c r="Y359" s="111"/>
      <c r="Z359" s="111"/>
      <c r="AA359" s="111"/>
      <c r="AB359" s="111"/>
      <c r="AC359" s="111"/>
      <c r="AD359" s="111"/>
      <c r="AE359" s="73" t="s">
        <v>51</v>
      </c>
      <c r="AF359" s="74" t="s">
        <v>52</v>
      </c>
      <c r="AG359" s="75">
        <f>ROUND(((X358*F358/3600)*0.13),4)</f>
        <v>1.5E-3</v>
      </c>
      <c r="AH359" s="75">
        <f>ROUND(((AB358+AC358+AD358)*0.13),4)</f>
        <v>8.0000000000000004E-4</v>
      </c>
    </row>
    <row r="360" spans="1:36" ht="12.95" customHeight="1" x14ac:dyDescent="0.25">
      <c r="A360" s="571"/>
      <c r="B360" s="76" t="s">
        <v>525</v>
      </c>
      <c r="C360" s="76"/>
      <c r="D360" s="67"/>
      <c r="E360" s="67"/>
      <c r="F360" s="67"/>
      <c r="G360" s="67"/>
      <c r="H360" s="67"/>
      <c r="I360" s="67"/>
      <c r="J360" s="67"/>
      <c r="K360" s="67"/>
      <c r="L360" s="68"/>
      <c r="M360" s="68"/>
      <c r="N360" s="67"/>
      <c r="O360" s="67"/>
      <c r="P360" s="67"/>
      <c r="Q360" s="75">
        <v>0.1</v>
      </c>
      <c r="R360" s="78">
        <v>0.113</v>
      </c>
      <c r="S360" s="79">
        <v>0.13600000000000001</v>
      </c>
      <c r="T360" s="78">
        <v>0.54</v>
      </c>
      <c r="U360" s="78">
        <v>0.67</v>
      </c>
      <c r="V360" s="108">
        <f>ROUND((R360*N358+T360*L358+Q360*D358),4)</f>
        <v>0.55740000000000001</v>
      </c>
      <c r="W360" s="109">
        <f>ROUND((S360*0.9*O358+U360*0.9*L358+Q360*D358),4)</f>
        <v>0.84040000000000004</v>
      </c>
      <c r="X360" s="109">
        <f>ROUND((S360*P358+U360*L358+Q360*D358),4)</f>
        <v>2.8267000000000002</v>
      </c>
      <c r="Y360" s="109">
        <f>ROUND((T360*M358+Q360*E358),4)</f>
        <v>0.10539999999999999</v>
      </c>
      <c r="Z360" s="109">
        <f>ROUND((U360*0.9*M358+Q360*E358),4)</f>
        <v>0.106</v>
      </c>
      <c r="AA360" s="109">
        <f>ROUND((U360*M358+Q360*E358),4)</f>
        <v>0.1067</v>
      </c>
      <c r="AB360" s="109">
        <f>ROUND((H358*(V360+Y360)*G358*I358/1000000),5)</f>
        <v>1.2E-4</v>
      </c>
      <c r="AC360" s="109">
        <f>ROUND((H358*(W360+Z360)*G358*J358/1000000),5)</f>
        <v>9.0000000000000006E-5</v>
      </c>
      <c r="AD360" s="109">
        <f>ROUND((H358*(X360+AA360)*G358*K358/1000000),5)</f>
        <v>2.7999999999999998E-4</v>
      </c>
      <c r="AE360" s="73" t="s">
        <v>56</v>
      </c>
      <c r="AF360" s="74" t="s">
        <v>57</v>
      </c>
      <c r="AG360" s="75">
        <f>ROUND(((X360*F358/3600)),4)</f>
        <v>8.0000000000000004E-4</v>
      </c>
      <c r="AH360" s="75">
        <f>AB360+AC360+AD360</f>
        <v>4.8999999999999998E-4</v>
      </c>
    </row>
    <row r="361" spans="1:36" ht="12.95" customHeight="1" x14ac:dyDescent="0.25">
      <c r="A361" s="571"/>
      <c r="B361" s="132"/>
      <c r="C361" s="67"/>
      <c r="D361" s="67"/>
      <c r="E361" s="67"/>
      <c r="F361" s="67"/>
      <c r="G361" s="67"/>
      <c r="H361" s="67"/>
      <c r="I361" s="67"/>
      <c r="J361" s="67"/>
      <c r="K361" s="67"/>
      <c r="L361" s="68"/>
      <c r="M361" s="68"/>
      <c r="N361" s="67"/>
      <c r="O361" s="67"/>
      <c r="P361" s="67"/>
      <c r="Q361" s="75">
        <v>0.45</v>
      </c>
      <c r="R361" s="78">
        <v>0.4</v>
      </c>
      <c r="S361" s="75">
        <v>1.1000000000000001</v>
      </c>
      <c r="T361" s="78">
        <v>1</v>
      </c>
      <c r="U361" s="78">
        <v>1.2</v>
      </c>
      <c r="V361" s="108">
        <f>ROUND((R361*N358+T361*L358+Q361*D358),4)</f>
        <v>2.06</v>
      </c>
      <c r="W361" s="109">
        <f>ROUND((S361*0.9*O358+U361*0.9*L358+Q361*D358),4)</f>
        <v>6.4008000000000003</v>
      </c>
      <c r="X361" s="109">
        <f>ROUND((S361*P358+U361*L358+Q361*D358),4)</f>
        <v>22.462</v>
      </c>
      <c r="Y361" s="109">
        <f>ROUND((T361*M358+Q361*E358),4)</f>
        <v>0.46</v>
      </c>
      <c r="Z361" s="109">
        <f>ROUND((U361*0.9*M358+Q361*E358),4)</f>
        <v>0.46079999999999999</v>
      </c>
      <c r="AA361" s="109">
        <f>ROUND((U361*M358+Q361*E358),4)</f>
        <v>0.46200000000000002</v>
      </c>
      <c r="AB361" s="109">
        <f>ROUND((H358*(V361+Y361)*G358*I358/1000000),4)</f>
        <v>5.0000000000000001E-4</v>
      </c>
      <c r="AC361" s="109">
        <f>ROUND((H358*(W361+Z361)*G358*J358/1000000),4)</f>
        <v>5.9999999999999995E-4</v>
      </c>
      <c r="AD361" s="109">
        <f>ROUND((H358*(X361+AA361)*G358*K358/1000000),4)</f>
        <v>2.2000000000000001E-3</v>
      </c>
      <c r="AE361" s="73" t="s">
        <v>177</v>
      </c>
      <c r="AF361" s="74" t="s">
        <v>178</v>
      </c>
      <c r="AG361" s="75">
        <f>ROUND(((X361*F358/3600)),4)</f>
        <v>6.1999999999999998E-3</v>
      </c>
      <c r="AH361" s="75">
        <f>AB361+AC361+AD361</f>
        <v>3.3E-3</v>
      </c>
    </row>
    <row r="362" spans="1:36" ht="12.95" customHeight="1" x14ac:dyDescent="0.25">
      <c r="A362" s="572"/>
      <c r="B362" s="67"/>
      <c r="C362" s="67"/>
      <c r="D362" s="67"/>
      <c r="E362" s="67"/>
      <c r="F362" s="67"/>
      <c r="G362" s="67"/>
      <c r="H362" s="67"/>
      <c r="I362" s="67"/>
      <c r="J362" s="67"/>
      <c r="K362" s="67"/>
      <c r="L362" s="68"/>
      <c r="M362" s="68"/>
      <c r="N362" s="67"/>
      <c r="O362" s="67"/>
      <c r="P362" s="67"/>
      <c r="Q362" s="75">
        <v>2.9</v>
      </c>
      <c r="R362" s="78">
        <v>3</v>
      </c>
      <c r="S362" s="75">
        <v>8.1999999999999993</v>
      </c>
      <c r="T362" s="78">
        <v>6.1</v>
      </c>
      <c r="U362" s="78">
        <v>7.4</v>
      </c>
      <c r="V362" s="167">
        <f>ROUND((R362*N358+T362*L358+Q362*D358),4)</f>
        <v>14.961</v>
      </c>
      <c r="W362" s="168">
        <f>ROUND((S362*0.9*O358+U362*0.9*L358+Q362*D358),4)</f>
        <v>47.246600000000001</v>
      </c>
      <c r="X362" s="168">
        <f>ROUND((S362*P358+U362*L358+Q362*D358),4)</f>
        <v>166.97399999999999</v>
      </c>
      <c r="Y362" s="168">
        <f>ROUND((T362*M358+Q362*E358),4)</f>
        <v>2.9609999999999999</v>
      </c>
      <c r="Z362" s="168">
        <f>ROUND((U362*0.9*M358+Q362*E358),4)</f>
        <v>2.9666000000000001</v>
      </c>
      <c r="AA362" s="168">
        <f>ROUND((U362*M358+Q362*E358),4)</f>
        <v>2.9740000000000002</v>
      </c>
      <c r="AB362" s="168">
        <f>ROUND((H358*(V362+Y362)*G358*I358/1000000),4)</f>
        <v>3.2000000000000002E-3</v>
      </c>
      <c r="AC362" s="168">
        <f>ROUND((H358*(W362+Z362)*G358*J358/1000000),4)</f>
        <v>4.4999999999999997E-3</v>
      </c>
      <c r="AD362" s="168">
        <f>ROUND((H358*(X362+AA362)*G358*K358/1000000),4)</f>
        <v>1.61E-2</v>
      </c>
      <c r="AE362" s="73" t="s">
        <v>65</v>
      </c>
      <c r="AF362" s="74" t="s">
        <v>66</v>
      </c>
      <c r="AG362" s="75">
        <f>ROUND(((X362*F358/3600)),4)</f>
        <v>4.6399999999999997E-2</v>
      </c>
      <c r="AH362" s="75">
        <f>AB362+AC362+AD362</f>
        <v>2.3800000000000002E-2</v>
      </c>
    </row>
    <row r="363" spans="1:36" ht="12.95" customHeight="1" x14ac:dyDescent="0.25">
      <c r="A363" s="573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70"/>
      <c r="M363" s="70"/>
      <c r="N363" s="69"/>
      <c r="O363" s="69"/>
      <c r="P363" s="69"/>
      <c r="Q363" s="75">
        <v>0.04</v>
      </c>
      <c r="R363" s="78">
        <v>0.04</v>
      </c>
      <c r="S363" s="75">
        <v>0.16</v>
      </c>
      <c r="T363" s="78">
        <v>0.3</v>
      </c>
      <c r="U363" s="78">
        <v>0.4</v>
      </c>
      <c r="V363" s="167">
        <f>ROUND((R363*N358+T363*L358+Q363*D358),4)</f>
        <v>0.20300000000000001</v>
      </c>
      <c r="W363" s="168">
        <f>ROUND((S363*0.9*O358+U363*0.9*L358+Q363*D358),4)</f>
        <v>0.90759999999999996</v>
      </c>
      <c r="X363" s="168">
        <f>ROUND((S363*P358+U363*L358+Q363*D358),4)</f>
        <v>3.2440000000000002</v>
      </c>
      <c r="Y363" s="168">
        <f>ROUND((T363*M358+Q363*E358),4)</f>
        <v>4.2999999999999997E-2</v>
      </c>
      <c r="Z363" s="168">
        <f>ROUND((U363*0.9*M358+Q363*E358),4)</f>
        <v>4.36E-2</v>
      </c>
      <c r="AA363" s="168">
        <f>ROUND((U363*M358+Q363*E358),4)</f>
        <v>4.3999999999999997E-2</v>
      </c>
      <c r="AB363" s="168">
        <f>ROUND((H358*(V363+Y363)*G358*I358/1000000),5)</f>
        <v>4.0000000000000003E-5</v>
      </c>
      <c r="AC363" s="168">
        <f>ROUND((H358*(W363+Z363)*G358*J358/1000000),5)</f>
        <v>9.0000000000000006E-5</v>
      </c>
      <c r="AD363" s="168">
        <f>ROUND((H358*(X363+AA363)*G358*K358/1000000),4)</f>
        <v>2.9999999999999997E-4</v>
      </c>
      <c r="AE363" s="73" t="s">
        <v>213</v>
      </c>
      <c r="AF363" s="74" t="s">
        <v>62</v>
      </c>
      <c r="AG363" s="75">
        <f>ROUND(((X363*F358/3600)),4)</f>
        <v>8.9999999999999998E-4</v>
      </c>
      <c r="AH363" s="75">
        <f>AB363+AC363+AD363</f>
        <v>4.2999999999999999E-4</v>
      </c>
      <c r="AI363" s="61">
        <f>SUM(AG358:AG363)</f>
        <v>6.4899999999999999E-2</v>
      </c>
      <c r="AJ363" s="61">
        <f>SUM(AH358:AH363)</f>
        <v>3.3920000000000006E-2</v>
      </c>
    </row>
    <row r="364" spans="1:36" ht="12.95" customHeight="1" x14ac:dyDescent="0.25">
      <c r="A364" s="1522" t="s">
        <v>526</v>
      </c>
      <c r="B364" s="1523"/>
      <c r="C364" s="1523"/>
      <c r="D364" s="1523"/>
      <c r="E364" s="1523"/>
      <c r="F364" s="1523"/>
      <c r="G364" s="1523"/>
      <c r="H364" s="1523"/>
      <c r="I364" s="1523"/>
      <c r="J364" s="1523"/>
      <c r="K364" s="1523"/>
      <c r="L364" s="1523"/>
      <c r="M364" s="1523"/>
      <c r="N364" s="1523"/>
      <c r="O364" s="1523"/>
      <c r="P364" s="1523"/>
      <c r="Q364" s="1523"/>
      <c r="R364" s="1523"/>
      <c r="S364" s="1523"/>
      <c r="T364" s="1524"/>
      <c r="U364" s="1524"/>
      <c r="V364" s="1523"/>
      <c r="W364" s="1523"/>
      <c r="X364" s="1523"/>
      <c r="Y364" s="1523"/>
      <c r="Z364" s="1523"/>
      <c r="AA364" s="1523"/>
      <c r="AB364" s="1523"/>
      <c r="AC364" s="1523"/>
      <c r="AD364" s="1523"/>
      <c r="AE364" s="1523"/>
      <c r="AF364" s="1523"/>
      <c r="AG364" s="1523"/>
      <c r="AH364" s="1525"/>
    </row>
    <row r="365" spans="1:36" ht="12.95" customHeight="1" x14ac:dyDescent="0.25">
      <c r="A365" s="506" t="s">
        <v>517</v>
      </c>
      <c r="B365" s="71" t="s">
        <v>211</v>
      </c>
      <c r="C365" s="1128" t="s">
        <v>444</v>
      </c>
      <c r="D365" s="65">
        <v>1</v>
      </c>
      <c r="E365" s="65">
        <v>1</v>
      </c>
      <c r="F365" s="65">
        <v>1</v>
      </c>
      <c r="G365" s="65">
        <v>2</v>
      </c>
      <c r="H365" s="65">
        <f>ROUND((F365/G365),2)</f>
        <v>0.5</v>
      </c>
      <c r="I365" s="65">
        <v>173</v>
      </c>
      <c r="J365" s="65">
        <v>0</v>
      </c>
      <c r="K365" s="66">
        <v>0</v>
      </c>
      <c r="L365" s="66">
        <v>0.01</v>
      </c>
      <c r="M365" s="66">
        <v>0.01</v>
      </c>
      <c r="N365" s="65">
        <v>4</v>
      </c>
      <c r="O365" s="65">
        <v>6</v>
      </c>
      <c r="P365" s="65">
        <v>20</v>
      </c>
      <c r="Q365" s="65">
        <v>1</v>
      </c>
      <c r="R365" s="72">
        <v>1</v>
      </c>
      <c r="S365" s="65">
        <v>2</v>
      </c>
      <c r="T365" s="72">
        <v>4</v>
      </c>
      <c r="U365" s="72">
        <v>4</v>
      </c>
      <c r="V365" s="108">
        <f>ROUND((R365*N365+T365*L365+Q365*D365),4)</f>
        <v>5.04</v>
      </c>
      <c r="W365" s="109">
        <f>ROUND((S365*O365+U365*L365+Q365*D365),4)</f>
        <v>13.04</v>
      </c>
      <c r="X365" s="109">
        <f>ROUND((S365*P365+U365*L365+Q365*D365),4)</f>
        <v>41.04</v>
      </c>
      <c r="Y365" s="109">
        <f>ROUND((T365*M365+Q365*E365),4)</f>
        <v>1.04</v>
      </c>
      <c r="Z365" s="109">
        <f>ROUND((U365*M365+Q365*E365),4)</f>
        <v>1.04</v>
      </c>
      <c r="AA365" s="109">
        <f>ROUND((U365*M365+Q365*E365),4)</f>
        <v>1.04</v>
      </c>
      <c r="AB365" s="109">
        <f>ROUND((H365*(V365+Y365)*G365*I365/1000000),4)</f>
        <v>1.1000000000000001E-3</v>
      </c>
      <c r="AC365" s="109">
        <f>ROUND((H365*(W365+Z365)*G365*J365/1000000),4)</f>
        <v>0</v>
      </c>
      <c r="AD365" s="109">
        <f>ROUND((H365*(X365+AA365)*G365*K365/1000000),4)</f>
        <v>0</v>
      </c>
      <c r="AE365" s="73" t="s">
        <v>48</v>
      </c>
      <c r="AF365" s="74" t="s">
        <v>49</v>
      </c>
      <c r="AG365" s="75">
        <f>ROUND(((X365*F365/3600)*0.8),4)</f>
        <v>9.1000000000000004E-3</v>
      </c>
      <c r="AH365" s="75">
        <f>ROUND(((AB365+AC365+AD365)*0.8),4)</f>
        <v>8.9999999999999998E-4</v>
      </c>
    </row>
    <row r="366" spans="1:36" ht="12.95" customHeight="1" x14ac:dyDescent="0.25">
      <c r="A366" s="570" t="s">
        <v>166</v>
      </c>
      <c r="B366" s="67" t="s">
        <v>212</v>
      </c>
      <c r="C366" s="1129"/>
      <c r="D366" s="67"/>
      <c r="E366" s="67"/>
      <c r="F366" s="67"/>
      <c r="G366" s="67"/>
      <c r="H366" s="67"/>
      <c r="I366" s="67"/>
      <c r="J366" s="67"/>
      <c r="K366" s="67"/>
      <c r="L366" s="68"/>
      <c r="M366" s="68"/>
      <c r="N366" s="67"/>
      <c r="O366" s="67"/>
      <c r="P366" s="67"/>
      <c r="Q366" s="69"/>
      <c r="R366" s="69"/>
      <c r="S366" s="70"/>
      <c r="T366" s="69"/>
      <c r="U366" s="69"/>
      <c r="V366" s="110"/>
      <c r="W366" s="111"/>
      <c r="X366" s="111"/>
      <c r="Y366" s="111"/>
      <c r="Z366" s="111"/>
      <c r="AA366" s="111"/>
      <c r="AB366" s="111"/>
      <c r="AC366" s="111"/>
      <c r="AD366" s="111"/>
      <c r="AE366" s="73" t="s">
        <v>51</v>
      </c>
      <c r="AF366" s="74" t="s">
        <v>52</v>
      </c>
      <c r="AG366" s="75">
        <f>ROUND(((X365*F365/3600)*0.13),4)</f>
        <v>1.5E-3</v>
      </c>
      <c r="AH366" s="75">
        <f>ROUND(((AB365+AC365+AD365)*0.13),4)</f>
        <v>1E-4</v>
      </c>
    </row>
    <row r="367" spans="1:36" ht="12.95" customHeight="1" x14ac:dyDescent="0.25">
      <c r="A367" s="571"/>
      <c r="B367" s="76" t="s">
        <v>525</v>
      </c>
      <c r="C367" s="76"/>
      <c r="D367" s="67"/>
      <c r="E367" s="67"/>
      <c r="F367" s="67"/>
      <c r="G367" s="67"/>
      <c r="H367" s="67"/>
      <c r="I367" s="67"/>
      <c r="J367" s="67"/>
      <c r="K367" s="67"/>
      <c r="L367" s="68"/>
      <c r="M367" s="68"/>
      <c r="N367" s="67"/>
      <c r="O367" s="67"/>
      <c r="P367" s="67"/>
      <c r="Q367" s="75">
        <v>0.1</v>
      </c>
      <c r="R367" s="78">
        <v>0.113</v>
      </c>
      <c r="S367" s="79">
        <v>0.13600000000000001</v>
      </c>
      <c r="T367" s="78">
        <v>0.54</v>
      </c>
      <c r="U367" s="78">
        <v>0.67</v>
      </c>
      <c r="V367" s="108">
        <f>ROUND((R367*N365+T367*L365+Q367*D365),4)</f>
        <v>0.55740000000000001</v>
      </c>
      <c r="W367" s="109">
        <f>ROUND((S367*0.9*O365+U367*0.9*L365+Q367*D365),4)</f>
        <v>0.84040000000000004</v>
      </c>
      <c r="X367" s="109">
        <f>ROUND((S367*P365+U367*L365+Q367*D365),4)</f>
        <v>2.8267000000000002</v>
      </c>
      <c r="Y367" s="109">
        <f>ROUND((T367*M365+Q367*E365),4)</f>
        <v>0.10539999999999999</v>
      </c>
      <c r="Z367" s="109">
        <f>ROUND((U367*0.9*M365+Q367*E365),4)</f>
        <v>0.106</v>
      </c>
      <c r="AA367" s="109">
        <f>ROUND((U367*M365+Q367*E365),4)</f>
        <v>0.1067</v>
      </c>
      <c r="AB367" s="109">
        <f>ROUND((H365*(V367+Y367)*G365*I365/1000000),5)</f>
        <v>1.1E-4</v>
      </c>
      <c r="AC367" s="109">
        <f>ROUND((H365*(W367+Z367)*G365*J365/1000000),5)</f>
        <v>0</v>
      </c>
      <c r="AD367" s="109">
        <f>ROUND((H365*(X367+AA367)*G365*K365/1000000),5)</f>
        <v>0</v>
      </c>
      <c r="AE367" s="73" t="s">
        <v>56</v>
      </c>
      <c r="AF367" s="74" t="s">
        <v>57</v>
      </c>
      <c r="AG367" s="75">
        <f>ROUND(((X367*F365/3600)),4)</f>
        <v>8.0000000000000004E-4</v>
      </c>
      <c r="AH367" s="75">
        <f>AB367+AC367+AD367</f>
        <v>1.1E-4</v>
      </c>
    </row>
    <row r="368" spans="1:36" ht="12.95" customHeight="1" x14ac:dyDescent="0.25">
      <c r="A368" s="571"/>
      <c r="B368" s="132"/>
      <c r="C368" s="67"/>
      <c r="D368" s="67"/>
      <c r="E368" s="67"/>
      <c r="F368" s="67"/>
      <c r="G368" s="67"/>
      <c r="H368" s="67"/>
      <c r="I368" s="67"/>
      <c r="J368" s="67"/>
      <c r="K368" s="67"/>
      <c r="L368" s="68"/>
      <c r="M368" s="68"/>
      <c r="N368" s="67"/>
      <c r="O368" s="67"/>
      <c r="P368" s="67"/>
      <c r="Q368" s="75">
        <v>0.45</v>
      </c>
      <c r="R368" s="78">
        <v>0.4</v>
      </c>
      <c r="S368" s="75">
        <v>1.1000000000000001</v>
      </c>
      <c r="T368" s="78">
        <v>1</v>
      </c>
      <c r="U368" s="78">
        <v>1.2</v>
      </c>
      <c r="V368" s="108">
        <f>ROUND((R368*N365+T368*L365+Q368*D365),4)</f>
        <v>2.06</v>
      </c>
      <c r="W368" s="109">
        <f>ROUND((S368*0.9*O365+U368*0.9*L365+Q368*D365),4)</f>
        <v>6.4008000000000003</v>
      </c>
      <c r="X368" s="109">
        <f>ROUND((S368*P365+U368*L365+Q368*D365),4)</f>
        <v>22.462</v>
      </c>
      <c r="Y368" s="109">
        <f>ROUND((T368*M365+Q368*E365),4)</f>
        <v>0.46</v>
      </c>
      <c r="Z368" s="109">
        <f>ROUND((U368*0.9*M365+Q368*E365),4)</f>
        <v>0.46079999999999999</v>
      </c>
      <c r="AA368" s="109">
        <f>ROUND((U368*M365+Q368*E365),4)</f>
        <v>0.46200000000000002</v>
      </c>
      <c r="AB368" s="109">
        <f>ROUND((H365*(V368+Y368)*G365*I365/1000000),4)</f>
        <v>4.0000000000000002E-4</v>
      </c>
      <c r="AC368" s="109">
        <f>ROUND((H365*(W368+Z368)*G365*J365/1000000),4)</f>
        <v>0</v>
      </c>
      <c r="AD368" s="109">
        <f>ROUND((H365*(X368+AA368)*G365*K365/1000000),4)</f>
        <v>0</v>
      </c>
      <c r="AE368" s="73" t="s">
        <v>177</v>
      </c>
      <c r="AF368" s="74" t="s">
        <v>178</v>
      </c>
      <c r="AG368" s="75">
        <f>ROUND(((X368*F365/3600)),4)</f>
        <v>6.1999999999999998E-3</v>
      </c>
      <c r="AH368" s="75">
        <f>AB368+AC368+AD368</f>
        <v>4.0000000000000002E-4</v>
      </c>
    </row>
    <row r="369" spans="1:36" ht="12.95" customHeight="1" x14ac:dyDescent="0.25">
      <c r="A369" s="572"/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8"/>
      <c r="M369" s="68"/>
      <c r="N369" s="67"/>
      <c r="O369" s="67"/>
      <c r="P369" s="67"/>
      <c r="Q369" s="75">
        <v>2.9</v>
      </c>
      <c r="R369" s="78">
        <v>3</v>
      </c>
      <c r="S369" s="75">
        <v>8.1999999999999993</v>
      </c>
      <c r="T369" s="78">
        <v>6.1</v>
      </c>
      <c r="U369" s="78">
        <v>7.4</v>
      </c>
      <c r="V369" s="167">
        <f>ROUND((R369*N365+T369*L365+Q369*D365),4)</f>
        <v>14.961</v>
      </c>
      <c r="W369" s="168">
        <f>ROUND((S369*0.9*O365+U369*0.9*L365+Q369*D365),4)</f>
        <v>47.246600000000001</v>
      </c>
      <c r="X369" s="168">
        <f>ROUND((S369*P365+U369*L365+Q369*D365),4)</f>
        <v>166.97399999999999</v>
      </c>
      <c r="Y369" s="168">
        <f>ROUND((T369*M365+Q369*E365),4)</f>
        <v>2.9609999999999999</v>
      </c>
      <c r="Z369" s="168">
        <f>ROUND((U369*0.9*M365+Q369*E365),4)</f>
        <v>2.9666000000000001</v>
      </c>
      <c r="AA369" s="168">
        <f>ROUND((U369*M365+Q369*E365),4)</f>
        <v>2.9740000000000002</v>
      </c>
      <c r="AB369" s="168">
        <f>ROUND((H365*(V369+Y369)*G365*I365/1000000),4)</f>
        <v>3.0999999999999999E-3</v>
      </c>
      <c r="AC369" s="168">
        <f>ROUND((H365*(W369+Z369)*G365*J365/1000000),4)</f>
        <v>0</v>
      </c>
      <c r="AD369" s="168">
        <f>ROUND((H365*(X369+AA369)*G365*K365/1000000),4)</f>
        <v>0</v>
      </c>
      <c r="AE369" s="73" t="s">
        <v>65</v>
      </c>
      <c r="AF369" s="74" t="s">
        <v>66</v>
      </c>
      <c r="AG369" s="75">
        <f>ROUND(((X369*F365/3600)),4)</f>
        <v>4.6399999999999997E-2</v>
      </c>
      <c r="AH369" s="75">
        <f>AB369+AC369+AD369</f>
        <v>3.0999999999999999E-3</v>
      </c>
    </row>
    <row r="370" spans="1:36" ht="12.95" customHeight="1" x14ac:dyDescent="0.25">
      <c r="A370" s="573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70"/>
      <c r="M370" s="70"/>
      <c r="N370" s="69"/>
      <c r="O370" s="69"/>
      <c r="P370" s="69"/>
      <c r="Q370" s="75">
        <v>0.04</v>
      </c>
      <c r="R370" s="78">
        <v>0.04</v>
      </c>
      <c r="S370" s="75">
        <v>0.16</v>
      </c>
      <c r="T370" s="78">
        <v>0.3</v>
      </c>
      <c r="U370" s="78">
        <v>0.4</v>
      </c>
      <c r="V370" s="167">
        <f>ROUND((R370*N365+T370*L365+Q370*D365),4)</f>
        <v>0.20300000000000001</v>
      </c>
      <c r="W370" s="168">
        <f>ROUND((S370*0.9*O365+U370*0.9*L365+Q370*D365),4)</f>
        <v>0.90759999999999996</v>
      </c>
      <c r="X370" s="168">
        <f>ROUND((S370*P365+U370*L365+Q370*D365),4)</f>
        <v>3.2440000000000002</v>
      </c>
      <c r="Y370" s="168">
        <f>ROUND((T370*M365+Q370*E365),4)</f>
        <v>4.2999999999999997E-2</v>
      </c>
      <c r="Z370" s="168">
        <f>ROUND((U370*0.9*M365+Q370*E365),4)</f>
        <v>4.36E-2</v>
      </c>
      <c r="AA370" s="168">
        <f>ROUND((U370*M365+Q370*E365),4)</f>
        <v>4.3999999999999997E-2</v>
      </c>
      <c r="AB370" s="168">
        <f>ROUND((H365*(V370+Y370)*G365*I365/1000000),5)</f>
        <v>4.0000000000000003E-5</v>
      </c>
      <c r="AC370" s="168">
        <f>ROUND((H365*(W370+Z370)*G365*J365/1000000),5)</f>
        <v>0</v>
      </c>
      <c r="AD370" s="168">
        <f>ROUND((H365*(X370+AA370)*G365*K365/1000000),4)</f>
        <v>0</v>
      </c>
      <c r="AE370" s="73" t="s">
        <v>213</v>
      </c>
      <c r="AF370" s="74" t="s">
        <v>62</v>
      </c>
      <c r="AG370" s="75">
        <f>ROUND(((X370*F365/3600)),4)</f>
        <v>8.9999999999999998E-4</v>
      </c>
      <c r="AH370" s="75">
        <f>AB370+AC370+AD370</f>
        <v>4.0000000000000003E-5</v>
      </c>
      <c r="AI370" s="61">
        <f>SUM(AG365:AG370)</f>
        <v>6.4899999999999999E-2</v>
      </c>
      <c r="AJ370" s="61">
        <f>SUM(AH365:AH370)</f>
        <v>4.6499999999999996E-3</v>
      </c>
    </row>
    <row r="371" spans="1:36" ht="12.95" customHeight="1" x14ac:dyDescent="0.25">
      <c r="A371" s="1522" t="s">
        <v>528</v>
      </c>
      <c r="B371" s="1523"/>
      <c r="C371" s="1523"/>
      <c r="D371" s="1523"/>
      <c r="E371" s="1523"/>
      <c r="F371" s="1523"/>
      <c r="G371" s="1523"/>
      <c r="H371" s="1523"/>
      <c r="I371" s="1523"/>
      <c r="J371" s="1523"/>
      <c r="K371" s="1523"/>
      <c r="L371" s="1523"/>
      <c r="M371" s="1523"/>
      <c r="N371" s="1523"/>
      <c r="O371" s="1523"/>
      <c r="P371" s="1523"/>
      <c r="Q371" s="1523"/>
      <c r="R371" s="1523"/>
      <c r="S371" s="1523"/>
      <c r="T371" s="1524"/>
      <c r="U371" s="1524"/>
      <c r="V371" s="1523"/>
      <c r="W371" s="1523"/>
      <c r="X371" s="1523"/>
      <c r="Y371" s="1523"/>
      <c r="Z371" s="1523"/>
      <c r="AA371" s="1523"/>
      <c r="AB371" s="1523"/>
      <c r="AC371" s="1523"/>
      <c r="AD371" s="1523"/>
      <c r="AE371" s="1523"/>
      <c r="AF371" s="1523"/>
      <c r="AG371" s="1523"/>
      <c r="AH371" s="1525"/>
    </row>
    <row r="372" spans="1:36" ht="12.95" customHeight="1" x14ac:dyDescent="0.25">
      <c r="A372" s="506" t="s">
        <v>520</v>
      </c>
      <c r="B372" s="71" t="s">
        <v>211</v>
      </c>
      <c r="C372" s="1128" t="s">
        <v>444</v>
      </c>
      <c r="D372" s="65">
        <v>1</v>
      </c>
      <c r="E372" s="65">
        <v>1</v>
      </c>
      <c r="F372" s="65">
        <v>1</v>
      </c>
      <c r="G372" s="65">
        <v>2</v>
      </c>
      <c r="H372" s="65">
        <f>ROUND((F372/G372),2)</f>
        <v>0.5</v>
      </c>
      <c r="I372" s="65">
        <v>173</v>
      </c>
      <c r="J372" s="65">
        <v>0</v>
      </c>
      <c r="K372" s="66">
        <v>0</v>
      </c>
      <c r="L372" s="66">
        <v>0.01</v>
      </c>
      <c r="M372" s="66">
        <v>0.01</v>
      </c>
      <c r="N372" s="65">
        <v>4</v>
      </c>
      <c r="O372" s="65">
        <v>6</v>
      </c>
      <c r="P372" s="65">
        <v>20</v>
      </c>
      <c r="Q372" s="65">
        <v>1</v>
      </c>
      <c r="R372" s="72">
        <v>1</v>
      </c>
      <c r="S372" s="65">
        <v>2</v>
      </c>
      <c r="T372" s="72">
        <v>4</v>
      </c>
      <c r="U372" s="72">
        <v>4</v>
      </c>
      <c r="V372" s="108">
        <f>ROUND((R372*N372+T372*L372+Q372*D372),4)</f>
        <v>5.04</v>
      </c>
      <c r="W372" s="109">
        <f>ROUND((S372*O372+U372*L372+Q372*D372),4)</f>
        <v>13.04</v>
      </c>
      <c r="X372" s="109">
        <f>ROUND((S372*P372+U372*L372+Q372*D372),4)</f>
        <v>41.04</v>
      </c>
      <c r="Y372" s="109">
        <f>ROUND((T372*M372+Q372*E372),4)</f>
        <v>1.04</v>
      </c>
      <c r="Z372" s="109">
        <f>ROUND((U372*M372+Q372*E372),4)</f>
        <v>1.04</v>
      </c>
      <c r="AA372" s="109">
        <f>ROUND((U372*M372+Q372*E372),4)</f>
        <v>1.04</v>
      </c>
      <c r="AB372" s="109">
        <f>ROUND((H372*(V372+Y372)*G372*I372/1000000),4)</f>
        <v>1.1000000000000001E-3</v>
      </c>
      <c r="AC372" s="109">
        <f>ROUND((H372*(W372+Z372)*G372*J372/1000000),4)</f>
        <v>0</v>
      </c>
      <c r="AD372" s="109">
        <f>ROUND((H372*(X372+AA372)*G372*K372/1000000),4)</f>
        <v>0</v>
      </c>
      <c r="AE372" s="73" t="s">
        <v>48</v>
      </c>
      <c r="AF372" s="74" t="s">
        <v>49</v>
      </c>
      <c r="AG372" s="75">
        <f>ROUND(((X372*F372/3600)*0.8),4)</f>
        <v>9.1000000000000004E-3</v>
      </c>
      <c r="AH372" s="75">
        <f>ROUND(((AB372+AC372+AD372)*0.8),4)</f>
        <v>8.9999999999999998E-4</v>
      </c>
    </row>
    <row r="373" spans="1:36" ht="12.95" customHeight="1" x14ac:dyDescent="0.25">
      <c r="A373" s="570" t="s">
        <v>166</v>
      </c>
      <c r="B373" s="67" t="s">
        <v>212</v>
      </c>
      <c r="C373" s="1129"/>
      <c r="D373" s="67"/>
      <c r="E373" s="67"/>
      <c r="F373" s="67"/>
      <c r="G373" s="67"/>
      <c r="H373" s="67"/>
      <c r="I373" s="67"/>
      <c r="J373" s="67"/>
      <c r="K373" s="67"/>
      <c r="L373" s="68"/>
      <c r="M373" s="68"/>
      <c r="N373" s="67"/>
      <c r="O373" s="67"/>
      <c r="P373" s="67"/>
      <c r="Q373" s="69"/>
      <c r="R373" s="69"/>
      <c r="S373" s="70"/>
      <c r="T373" s="69"/>
      <c r="U373" s="69"/>
      <c r="V373" s="110"/>
      <c r="W373" s="111"/>
      <c r="X373" s="111"/>
      <c r="Y373" s="111"/>
      <c r="Z373" s="111"/>
      <c r="AA373" s="111"/>
      <c r="AB373" s="111"/>
      <c r="AC373" s="111"/>
      <c r="AD373" s="111"/>
      <c r="AE373" s="73" t="s">
        <v>51</v>
      </c>
      <c r="AF373" s="74" t="s">
        <v>52</v>
      </c>
      <c r="AG373" s="75">
        <f>ROUND(((X372*F372/3600)*0.13),4)</f>
        <v>1.5E-3</v>
      </c>
      <c r="AH373" s="75">
        <f>ROUND(((AB372+AC372+AD372)*0.13),4)</f>
        <v>1E-4</v>
      </c>
    </row>
    <row r="374" spans="1:36" ht="12.95" customHeight="1" x14ac:dyDescent="0.25">
      <c r="A374" s="571"/>
      <c r="B374" s="76" t="s">
        <v>525</v>
      </c>
      <c r="C374" s="76"/>
      <c r="D374" s="67"/>
      <c r="E374" s="67"/>
      <c r="F374" s="67"/>
      <c r="G374" s="67"/>
      <c r="H374" s="67"/>
      <c r="I374" s="67"/>
      <c r="J374" s="67"/>
      <c r="K374" s="67"/>
      <c r="L374" s="68"/>
      <c r="M374" s="68"/>
      <c r="N374" s="67"/>
      <c r="O374" s="67"/>
      <c r="P374" s="67"/>
      <c r="Q374" s="75">
        <v>0.1</v>
      </c>
      <c r="R374" s="78">
        <v>0.113</v>
      </c>
      <c r="S374" s="79">
        <v>0.13600000000000001</v>
      </c>
      <c r="T374" s="78">
        <v>0.54</v>
      </c>
      <c r="U374" s="78">
        <v>0.67</v>
      </c>
      <c r="V374" s="108">
        <f>ROUND((R374*N372+T374*L372+Q374*D372),4)</f>
        <v>0.55740000000000001</v>
      </c>
      <c r="W374" s="109">
        <f>ROUND((S374*0.9*O372+U374*0.9*L372+Q374*D372),4)</f>
        <v>0.84040000000000004</v>
      </c>
      <c r="X374" s="109">
        <f>ROUND((S374*P372+U374*L372+Q374*D372),4)</f>
        <v>2.8267000000000002</v>
      </c>
      <c r="Y374" s="109">
        <f>ROUND((T374*M372+Q374*E372),4)</f>
        <v>0.10539999999999999</v>
      </c>
      <c r="Z374" s="109">
        <f>ROUND((U374*0.9*M372+Q374*E372),4)</f>
        <v>0.106</v>
      </c>
      <c r="AA374" s="109">
        <f>ROUND((U374*M372+Q374*E372),4)</f>
        <v>0.1067</v>
      </c>
      <c r="AB374" s="109">
        <f>ROUND((H372*(V374+Y374)*G372*I372/1000000),5)</f>
        <v>1.1E-4</v>
      </c>
      <c r="AC374" s="109">
        <f>ROUND((H372*(W374+Z374)*G372*J372/1000000),5)</f>
        <v>0</v>
      </c>
      <c r="AD374" s="109">
        <f>ROUND((H372*(X374+AA374)*G372*K372/1000000),5)</f>
        <v>0</v>
      </c>
      <c r="AE374" s="73" t="s">
        <v>56</v>
      </c>
      <c r="AF374" s="74" t="s">
        <v>57</v>
      </c>
      <c r="AG374" s="75">
        <f>ROUND(((X374*F372/3600)),4)</f>
        <v>8.0000000000000004E-4</v>
      </c>
      <c r="AH374" s="75">
        <f>AB374+AC374+AD374</f>
        <v>1.1E-4</v>
      </c>
    </row>
    <row r="375" spans="1:36" ht="12.95" customHeight="1" x14ac:dyDescent="0.25">
      <c r="A375" s="571"/>
      <c r="B375" s="132"/>
      <c r="C375" s="67"/>
      <c r="D375" s="67"/>
      <c r="E375" s="67"/>
      <c r="F375" s="67"/>
      <c r="G375" s="67"/>
      <c r="H375" s="67"/>
      <c r="I375" s="67"/>
      <c r="J375" s="67"/>
      <c r="K375" s="67"/>
      <c r="L375" s="68"/>
      <c r="M375" s="68"/>
      <c r="N375" s="67"/>
      <c r="O375" s="67"/>
      <c r="P375" s="67"/>
      <c r="Q375" s="75">
        <v>0.45</v>
      </c>
      <c r="R375" s="78">
        <v>0.4</v>
      </c>
      <c r="S375" s="75">
        <v>1.1000000000000001</v>
      </c>
      <c r="T375" s="78">
        <v>1</v>
      </c>
      <c r="U375" s="78">
        <v>1.2</v>
      </c>
      <c r="V375" s="108">
        <f>ROUND((R375*N372+T375*L372+Q375*D372),4)</f>
        <v>2.06</v>
      </c>
      <c r="W375" s="109">
        <f>ROUND((S375*0.9*O372+U375*0.9*L372+Q375*D372),4)</f>
        <v>6.4008000000000003</v>
      </c>
      <c r="X375" s="109">
        <f>ROUND((S375*P372+U375*L372+Q375*D372),4)</f>
        <v>22.462</v>
      </c>
      <c r="Y375" s="109">
        <f>ROUND((T375*M372+Q375*E372),4)</f>
        <v>0.46</v>
      </c>
      <c r="Z375" s="109">
        <f>ROUND((U375*0.9*M372+Q375*E372),4)</f>
        <v>0.46079999999999999</v>
      </c>
      <c r="AA375" s="109">
        <f>ROUND((U375*M372+Q375*E372),4)</f>
        <v>0.46200000000000002</v>
      </c>
      <c r="AB375" s="109">
        <f>ROUND((H372*(V375+Y375)*G372*I372/1000000),4)</f>
        <v>4.0000000000000002E-4</v>
      </c>
      <c r="AC375" s="109">
        <f>ROUND((H372*(W375+Z375)*G372*J372/1000000),4)</f>
        <v>0</v>
      </c>
      <c r="AD375" s="109">
        <f>ROUND((H372*(X375+AA375)*G372*K372/1000000),4)</f>
        <v>0</v>
      </c>
      <c r="AE375" s="73" t="s">
        <v>177</v>
      </c>
      <c r="AF375" s="74" t="s">
        <v>178</v>
      </c>
      <c r="AG375" s="75">
        <f>ROUND(((X375*F372/3600)),4)</f>
        <v>6.1999999999999998E-3</v>
      </c>
      <c r="AH375" s="75">
        <f>AB375+AC375+AD375</f>
        <v>4.0000000000000002E-4</v>
      </c>
    </row>
    <row r="376" spans="1:36" ht="12.95" customHeight="1" x14ac:dyDescent="0.25">
      <c r="A376" s="572"/>
      <c r="B376" s="67"/>
      <c r="C376" s="67"/>
      <c r="D376" s="67"/>
      <c r="E376" s="67"/>
      <c r="F376" s="67"/>
      <c r="G376" s="67"/>
      <c r="H376" s="67"/>
      <c r="I376" s="67"/>
      <c r="J376" s="67"/>
      <c r="K376" s="67"/>
      <c r="L376" s="68"/>
      <c r="M376" s="68"/>
      <c r="N376" s="67"/>
      <c r="O376" s="67"/>
      <c r="P376" s="67"/>
      <c r="Q376" s="75">
        <v>2.9</v>
      </c>
      <c r="R376" s="78">
        <v>3</v>
      </c>
      <c r="S376" s="75">
        <v>8.1999999999999993</v>
      </c>
      <c r="T376" s="78">
        <v>6.1</v>
      </c>
      <c r="U376" s="78">
        <v>7.4</v>
      </c>
      <c r="V376" s="167">
        <f>ROUND((R376*N372+T376*L372+Q376*D372),4)</f>
        <v>14.961</v>
      </c>
      <c r="W376" s="168">
        <f>ROUND((S376*0.9*O372+U376*0.9*L372+Q376*D372),4)</f>
        <v>47.246600000000001</v>
      </c>
      <c r="X376" s="168">
        <f>ROUND((S376*P372+U376*L372+Q376*D372),4)</f>
        <v>166.97399999999999</v>
      </c>
      <c r="Y376" s="168">
        <f>ROUND((T376*M372+Q376*E372),4)</f>
        <v>2.9609999999999999</v>
      </c>
      <c r="Z376" s="168">
        <f>ROUND((U376*0.9*M372+Q376*E372),4)</f>
        <v>2.9666000000000001</v>
      </c>
      <c r="AA376" s="168">
        <f>ROUND((U376*M372+Q376*E372),4)</f>
        <v>2.9740000000000002</v>
      </c>
      <c r="AB376" s="168">
        <f>ROUND((H372*(V376+Y376)*G372*I372/1000000),4)</f>
        <v>3.0999999999999999E-3</v>
      </c>
      <c r="AC376" s="168">
        <f>ROUND((H372*(W376+Z376)*G372*J372/1000000),4)</f>
        <v>0</v>
      </c>
      <c r="AD376" s="168">
        <f>ROUND((H372*(X376+AA376)*G372*K372/1000000),4)</f>
        <v>0</v>
      </c>
      <c r="AE376" s="73" t="s">
        <v>65</v>
      </c>
      <c r="AF376" s="74" t="s">
        <v>66</v>
      </c>
      <c r="AG376" s="75">
        <f>ROUND(((X376*F372/3600)),4)</f>
        <v>4.6399999999999997E-2</v>
      </c>
      <c r="AH376" s="75">
        <f>AB376+AC376+AD376</f>
        <v>3.0999999999999999E-3</v>
      </c>
    </row>
    <row r="377" spans="1:36" ht="12.95" customHeight="1" x14ac:dyDescent="0.25">
      <c r="A377" s="573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70"/>
      <c r="M377" s="70"/>
      <c r="N377" s="69"/>
      <c r="O377" s="69"/>
      <c r="P377" s="69"/>
      <c r="Q377" s="75">
        <v>0.04</v>
      </c>
      <c r="R377" s="78">
        <v>0.04</v>
      </c>
      <c r="S377" s="75">
        <v>0.16</v>
      </c>
      <c r="T377" s="78">
        <v>0.3</v>
      </c>
      <c r="U377" s="78">
        <v>0.4</v>
      </c>
      <c r="V377" s="167">
        <f>ROUND((R377*N372+T377*L372+Q377*D372),4)</f>
        <v>0.20300000000000001</v>
      </c>
      <c r="W377" s="168">
        <f>ROUND((S377*0.9*O372+U377*0.9*L372+Q377*D372),4)</f>
        <v>0.90759999999999996</v>
      </c>
      <c r="X377" s="168">
        <f>ROUND((S377*P372+U377*L372+Q377*D372),4)</f>
        <v>3.2440000000000002</v>
      </c>
      <c r="Y377" s="168">
        <f>ROUND((T377*M372+Q377*E372),4)</f>
        <v>4.2999999999999997E-2</v>
      </c>
      <c r="Z377" s="168">
        <f>ROUND((U377*0.9*M372+Q377*E372),4)</f>
        <v>4.36E-2</v>
      </c>
      <c r="AA377" s="168">
        <f>ROUND((U377*M372+Q377*E372),4)</f>
        <v>4.3999999999999997E-2</v>
      </c>
      <c r="AB377" s="168">
        <f>ROUND((H372*(V377+Y377)*G372*I372/1000000),5)</f>
        <v>4.0000000000000003E-5</v>
      </c>
      <c r="AC377" s="168">
        <f>ROUND((H372*(W377+Z377)*G372*J372/1000000),5)</f>
        <v>0</v>
      </c>
      <c r="AD377" s="168">
        <f>ROUND((H372*(X377+AA377)*G372*K372/1000000),4)</f>
        <v>0</v>
      </c>
      <c r="AE377" s="73" t="s">
        <v>213</v>
      </c>
      <c r="AF377" s="74" t="s">
        <v>62</v>
      </c>
      <c r="AG377" s="75">
        <f>ROUND(((X377*F372/3600)),4)</f>
        <v>8.9999999999999998E-4</v>
      </c>
      <c r="AH377" s="75">
        <f>AB377+AC377+AD377</f>
        <v>4.0000000000000003E-5</v>
      </c>
      <c r="AI377" s="61">
        <f>SUM(AG372:AG377)</f>
        <v>6.4899999999999999E-2</v>
      </c>
      <c r="AJ377" s="61">
        <f>SUM(AH372:AH377)</f>
        <v>4.6499999999999996E-3</v>
      </c>
    </row>
    <row r="378" spans="1:36" ht="12.95" customHeight="1" x14ac:dyDescent="0.25">
      <c r="A378" s="1522" t="s">
        <v>531</v>
      </c>
      <c r="B378" s="1523"/>
      <c r="C378" s="1523"/>
      <c r="D378" s="1523"/>
      <c r="E378" s="1523"/>
      <c r="F378" s="1523"/>
      <c r="G378" s="1523"/>
      <c r="H378" s="1523"/>
      <c r="I378" s="1523"/>
      <c r="J378" s="1523"/>
      <c r="K378" s="1523"/>
      <c r="L378" s="1523"/>
      <c r="M378" s="1523"/>
      <c r="N378" s="1523"/>
      <c r="O378" s="1523"/>
      <c r="P378" s="1523"/>
      <c r="Q378" s="1523"/>
      <c r="R378" s="1523"/>
      <c r="S378" s="1523"/>
      <c r="T378" s="1524"/>
      <c r="U378" s="1524"/>
      <c r="V378" s="1523"/>
      <c r="W378" s="1523"/>
      <c r="X378" s="1523"/>
      <c r="Y378" s="1523"/>
      <c r="Z378" s="1523"/>
      <c r="AA378" s="1523"/>
      <c r="AB378" s="1523"/>
      <c r="AC378" s="1523"/>
      <c r="AD378" s="1523"/>
      <c r="AE378" s="1523"/>
      <c r="AF378" s="1523"/>
      <c r="AG378" s="1523"/>
      <c r="AH378" s="1525"/>
    </row>
    <row r="379" spans="1:36" ht="12.95" customHeight="1" x14ac:dyDescent="0.25">
      <c r="A379" s="506" t="s">
        <v>521</v>
      </c>
      <c r="B379" s="71" t="s">
        <v>211</v>
      </c>
      <c r="C379" s="1128" t="s">
        <v>444</v>
      </c>
      <c r="D379" s="65">
        <v>1</v>
      </c>
      <c r="E379" s="65">
        <v>1</v>
      </c>
      <c r="F379" s="65">
        <v>1</v>
      </c>
      <c r="G379" s="65">
        <v>2</v>
      </c>
      <c r="H379" s="65">
        <f>ROUND((F379/G379),2)</f>
        <v>0.5</v>
      </c>
      <c r="I379" s="65">
        <v>173</v>
      </c>
      <c r="J379" s="65">
        <v>0</v>
      </c>
      <c r="K379" s="66">
        <v>0</v>
      </c>
      <c r="L379" s="66">
        <v>0.01</v>
      </c>
      <c r="M379" s="66">
        <v>0.01</v>
      </c>
      <c r="N379" s="65">
        <v>4</v>
      </c>
      <c r="O379" s="65">
        <v>6</v>
      </c>
      <c r="P379" s="65">
        <v>20</v>
      </c>
      <c r="Q379" s="65">
        <v>1</v>
      </c>
      <c r="R379" s="72">
        <v>1</v>
      </c>
      <c r="S379" s="65">
        <v>2</v>
      </c>
      <c r="T379" s="72">
        <v>4</v>
      </c>
      <c r="U379" s="72">
        <v>4</v>
      </c>
      <c r="V379" s="108">
        <f>ROUND((R379*N379+T379*L379+Q379*D379),4)</f>
        <v>5.04</v>
      </c>
      <c r="W379" s="109">
        <f>ROUND((S379*O379+U379*L379+Q379*D379),4)</f>
        <v>13.04</v>
      </c>
      <c r="X379" s="109">
        <f>ROUND((S379*P379+U379*L379+Q379*D379),4)</f>
        <v>41.04</v>
      </c>
      <c r="Y379" s="109">
        <f>ROUND((T379*M379+Q379*E379),4)</f>
        <v>1.04</v>
      </c>
      <c r="Z379" s="109">
        <f>ROUND((U379*M379+Q379*E379),4)</f>
        <v>1.04</v>
      </c>
      <c r="AA379" s="109">
        <f>ROUND((U379*M379+Q379*E379),4)</f>
        <v>1.04</v>
      </c>
      <c r="AB379" s="109">
        <f>ROUND((H379*(V379+Y379)*G379*I379/1000000),4)</f>
        <v>1.1000000000000001E-3</v>
      </c>
      <c r="AC379" s="109">
        <f>ROUND((H379*(W379+Z379)*G379*J379/1000000),4)</f>
        <v>0</v>
      </c>
      <c r="AD379" s="109">
        <f>ROUND((H379*(X379+AA379)*G379*K379/1000000),4)</f>
        <v>0</v>
      </c>
      <c r="AE379" s="73" t="s">
        <v>48</v>
      </c>
      <c r="AF379" s="74" t="s">
        <v>49</v>
      </c>
      <c r="AG379" s="75">
        <f>ROUND(((X379*F379/3600)*0.8),4)</f>
        <v>9.1000000000000004E-3</v>
      </c>
      <c r="AH379" s="75">
        <f>ROUND(((AB379+AC379+AD379)*0.8),4)</f>
        <v>8.9999999999999998E-4</v>
      </c>
    </row>
    <row r="380" spans="1:36" ht="12.95" customHeight="1" x14ac:dyDescent="0.25">
      <c r="A380" s="570" t="s">
        <v>166</v>
      </c>
      <c r="B380" s="67" t="s">
        <v>212</v>
      </c>
      <c r="C380" s="1129"/>
      <c r="D380" s="67"/>
      <c r="E380" s="67"/>
      <c r="F380" s="67"/>
      <c r="G380" s="67"/>
      <c r="H380" s="67"/>
      <c r="I380" s="67"/>
      <c r="J380" s="67"/>
      <c r="K380" s="67"/>
      <c r="L380" s="68"/>
      <c r="M380" s="68"/>
      <c r="N380" s="67"/>
      <c r="O380" s="67"/>
      <c r="P380" s="67"/>
      <c r="Q380" s="69"/>
      <c r="R380" s="69"/>
      <c r="S380" s="70"/>
      <c r="T380" s="69"/>
      <c r="U380" s="69"/>
      <c r="V380" s="110"/>
      <c r="W380" s="111"/>
      <c r="X380" s="111"/>
      <c r="Y380" s="111"/>
      <c r="Z380" s="111"/>
      <c r="AA380" s="111"/>
      <c r="AB380" s="111"/>
      <c r="AC380" s="111"/>
      <c r="AD380" s="111"/>
      <c r="AE380" s="73" t="s">
        <v>51</v>
      </c>
      <c r="AF380" s="74" t="s">
        <v>52</v>
      </c>
      <c r="AG380" s="75">
        <f>ROUND(((X379*F379/3600)*0.13),4)</f>
        <v>1.5E-3</v>
      </c>
      <c r="AH380" s="75">
        <f>ROUND(((AB379+AC379+AD379)*0.13),4)</f>
        <v>1E-4</v>
      </c>
    </row>
    <row r="381" spans="1:36" ht="12.95" customHeight="1" x14ac:dyDescent="0.25">
      <c r="A381" s="571"/>
      <c r="B381" s="76" t="s">
        <v>525</v>
      </c>
      <c r="C381" s="76"/>
      <c r="D381" s="67"/>
      <c r="E381" s="67"/>
      <c r="F381" s="67"/>
      <c r="G381" s="67"/>
      <c r="H381" s="67"/>
      <c r="I381" s="67"/>
      <c r="J381" s="67"/>
      <c r="K381" s="67"/>
      <c r="L381" s="68"/>
      <c r="M381" s="68"/>
      <c r="N381" s="67"/>
      <c r="O381" s="67"/>
      <c r="P381" s="67"/>
      <c r="Q381" s="75">
        <v>0.1</v>
      </c>
      <c r="R381" s="78">
        <v>0.113</v>
      </c>
      <c r="S381" s="79">
        <v>0.13600000000000001</v>
      </c>
      <c r="T381" s="78">
        <v>0.54</v>
      </c>
      <c r="U381" s="78">
        <v>0.67</v>
      </c>
      <c r="V381" s="108">
        <f>ROUND((R381*N379+T381*L379+Q381*D379),4)</f>
        <v>0.55740000000000001</v>
      </c>
      <c r="W381" s="109">
        <f>ROUND((S381*0.9*O379+U381*0.9*L379+Q381*D379),4)</f>
        <v>0.84040000000000004</v>
      </c>
      <c r="X381" s="109">
        <f>ROUND((S381*P379+U381*L379+Q381*D379),4)</f>
        <v>2.8267000000000002</v>
      </c>
      <c r="Y381" s="109">
        <f>ROUND((T381*M379+Q381*E379),4)</f>
        <v>0.10539999999999999</v>
      </c>
      <c r="Z381" s="109">
        <f>ROUND((U381*0.9*M379+Q381*E379),4)</f>
        <v>0.106</v>
      </c>
      <c r="AA381" s="109">
        <f>ROUND((U381*M379+Q381*E379),4)</f>
        <v>0.1067</v>
      </c>
      <c r="AB381" s="109">
        <f>ROUND((H379*(V381+Y381)*G379*I379/1000000),5)</f>
        <v>1.1E-4</v>
      </c>
      <c r="AC381" s="109">
        <f>ROUND((H379*(W381+Z381)*G379*J379/1000000),5)</f>
        <v>0</v>
      </c>
      <c r="AD381" s="109">
        <f>ROUND((H379*(X381+AA381)*G379*K379/1000000),5)</f>
        <v>0</v>
      </c>
      <c r="AE381" s="73" t="s">
        <v>56</v>
      </c>
      <c r="AF381" s="74" t="s">
        <v>57</v>
      </c>
      <c r="AG381" s="75">
        <f>ROUND(((X381*F379/3600)),4)</f>
        <v>8.0000000000000004E-4</v>
      </c>
      <c r="AH381" s="75">
        <f>AB381+AC381+AD381</f>
        <v>1.1E-4</v>
      </c>
    </row>
    <row r="382" spans="1:36" ht="12.95" customHeight="1" x14ac:dyDescent="0.25">
      <c r="A382" s="571"/>
      <c r="B382" s="132"/>
      <c r="C382" s="67"/>
      <c r="D382" s="67"/>
      <c r="E382" s="67"/>
      <c r="F382" s="67"/>
      <c r="G382" s="67"/>
      <c r="H382" s="67"/>
      <c r="I382" s="67"/>
      <c r="J382" s="67"/>
      <c r="K382" s="67"/>
      <c r="L382" s="68"/>
      <c r="M382" s="68"/>
      <c r="N382" s="67"/>
      <c r="O382" s="67"/>
      <c r="P382" s="67"/>
      <c r="Q382" s="75">
        <v>0.45</v>
      </c>
      <c r="R382" s="78">
        <v>0.4</v>
      </c>
      <c r="S382" s="75">
        <v>1.1000000000000001</v>
      </c>
      <c r="T382" s="78">
        <v>1</v>
      </c>
      <c r="U382" s="78">
        <v>1.2</v>
      </c>
      <c r="V382" s="108">
        <f>ROUND((R382*N379+T382*L379+Q382*D379),4)</f>
        <v>2.06</v>
      </c>
      <c r="W382" s="109">
        <f>ROUND((S382*0.9*O379+U382*0.9*L379+Q382*D379),4)</f>
        <v>6.4008000000000003</v>
      </c>
      <c r="X382" s="109">
        <f>ROUND((S382*P379+U382*L379+Q382*D379),4)</f>
        <v>22.462</v>
      </c>
      <c r="Y382" s="109">
        <f>ROUND((T382*M379+Q382*E379),4)</f>
        <v>0.46</v>
      </c>
      <c r="Z382" s="109">
        <f>ROUND((U382*0.9*M379+Q382*E379),4)</f>
        <v>0.46079999999999999</v>
      </c>
      <c r="AA382" s="109">
        <f>ROUND((U382*M379+Q382*E379),4)</f>
        <v>0.46200000000000002</v>
      </c>
      <c r="AB382" s="109">
        <f>ROUND((H379*(V382+Y382)*G379*I379/1000000),4)</f>
        <v>4.0000000000000002E-4</v>
      </c>
      <c r="AC382" s="109">
        <f>ROUND((H379*(W382+Z382)*G379*J379/1000000),4)</f>
        <v>0</v>
      </c>
      <c r="AD382" s="109">
        <f>ROUND((H379*(X382+AA382)*G379*K379/1000000),4)</f>
        <v>0</v>
      </c>
      <c r="AE382" s="73" t="s">
        <v>177</v>
      </c>
      <c r="AF382" s="74" t="s">
        <v>178</v>
      </c>
      <c r="AG382" s="75">
        <f>ROUND(((X382*F379/3600)),4)</f>
        <v>6.1999999999999998E-3</v>
      </c>
      <c r="AH382" s="75">
        <f>AB382+AC382+AD382</f>
        <v>4.0000000000000002E-4</v>
      </c>
    </row>
    <row r="383" spans="1:36" ht="12.95" customHeight="1" x14ac:dyDescent="0.25">
      <c r="A383" s="572"/>
      <c r="B383" s="67"/>
      <c r="C383" s="67"/>
      <c r="D383" s="67"/>
      <c r="E383" s="67"/>
      <c r="F383" s="67"/>
      <c r="G383" s="67"/>
      <c r="H383" s="67"/>
      <c r="I383" s="67"/>
      <c r="J383" s="67"/>
      <c r="K383" s="67"/>
      <c r="L383" s="68"/>
      <c r="M383" s="68"/>
      <c r="N383" s="67"/>
      <c r="O383" s="67"/>
      <c r="P383" s="67"/>
      <c r="Q383" s="75">
        <v>2.9</v>
      </c>
      <c r="R383" s="78">
        <v>3</v>
      </c>
      <c r="S383" s="75">
        <v>8.1999999999999993</v>
      </c>
      <c r="T383" s="78">
        <v>6.1</v>
      </c>
      <c r="U383" s="78">
        <v>7.4</v>
      </c>
      <c r="V383" s="167">
        <f>ROUND((R383*N379+T383*L379+Q383*D379),4)</f>
        <v>14.961</v>
      </c>
      <c r="W383" s="168">
        <f>ROUND((S383*0.9*O379+U383*0.9*L379+Q383*D379),4)</f>
        <v>47.246600000000001</v>
      </c>
      <c r="X383" s="168">
        <f>ROUND((S383*P379+U383*L379+Q383*D379),4)</f>
        <v>166.97399999999999</v>
      </c>
      <c r="Y383" s="168">
        <f>ROUND((T383*M379+Q383*E379),4)</f>
        <v>2.9609999999999999</v>
      </c>
      <c r="Z383" s="168">
        <f>ROUND((U383*0.9*M379+Q383*E379),4)</f>
        <v>2.9666000000000001</v>
      </c>
      <c r="AA383" s="168">
        <f>ROUND((U383*M379+Q383*E379),4)</f>
        <v>2.9740000000000002</v>
      </c>
      <c r="AB383" s="168">
        <f>ROUND((H379*(V383+Y383)*G379*I379/1000000),4)</f>
        <v>3.0999999999999999E-3</v>
      </c>
      <c r="AC383" s="168">
        <f>ROUND((H379*(W383+Z383)*G379*J379/1000000),4)</f>
        <v>0</v>
      </c>
      <c r="AD383" s="168">
        <f>ROUND((H379*(X383+AA383)*G379*K379/1000000),4)</f>
        <v>0</v>
      </c>
      <c r="AE383" s="73" t="s">
        <v>65</v>
      </c>
      <c r="AF383" s="74" t="s">
        <v>66</v>
      </c>
      <c r="AG383" s="75">
        <f>ROUND(((X383*F379/3600)),4)</f>
        <v>4.6399999999999997E-2</v>
      </c>
      <c r="AH383" s="75">
        <f>AB383+AC383+AD383</f>
        <v>3.0999999999999999E-3</v>
      </c>
    </row>
    <row r="384" spans="1:36" ht="12.95" customHeight="1" x14ac:dyDescent="0.25">
      <c r="A384" s="573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70"/>
      <c r="M384" s="70"/>
      <c r="N384" s="69"/>
      <c r="O384" s="69"/>
      <c r="P384" s="69"/>
      <c r="Q384" s="75">
        <v>0.04</v>
      </c>
      <c r="R384" s="78">
        <v>0.04</v>
      </c>
      <c r="S384" s="75">
        <v>0.16</v>
      </c>
      <c r="T384" s="78">
        <v>0.3</v>
      </c>
      <c r="U384" s="78">
        <v>0.4</v>
      </c>
      <c r="V384" s="167">
        <f>ROUND((R384*N379+T384*L379+Q384*D379),4)</f>
        <v>0.20300000000000001</v>
      </c>
      <c r="W384" s="168">
        <f>ROUND((S384*0.9*O379+U384*0.9*L379+Q384*D379),4)</f>
        <v>0.90759999999999996</v>
      </c>
      <c r="X384" s="168">
        <f>ROUND((S384*P379+U384*L379+Q384*D379),4)</f>
        <v>3.2440000000000002</v>
      </c>
      <c r="Y384" s="168">
        <f>ROUND((T384*M379+Q384*E379),4)</f>
        <v>4.2999999999999997E-2</v>
      </c>
      <c r="Z384" s="168">
        <f>ROUND((U384*0.9*M379+Q384*E379),4)</f>
        <v>4.36E-2</v>
      </c>
      <c r="AA384" s="168">
        <f>ROUND((U384*M379+Q384*E379),4)</f>
        <v>4.3999999999999997E-2</v>
      </c>
      <c r="AB384" s="168">
        <f>ROUND((H379*(V384+Y384)*G379*I379/1000000),5)</f>
        <v>4.0000000000000003E-5</v>
      </c>
      <c r="AC384" s="168">
        <f>ROUND((H379*(W384+Z384)*G379*J379/1000000),5)</f>
        <v>0</v>
      </c>
      <c r="AD384" s="168">
        <f>ROUND((H379*(X384+AA384)*G379*K379/1000000),4)</f>
        <v>0</v>
      </c>
      <c r="AE384" s="73" t="s">
        <v>213</v>
      </c>
      <c r="AF384" s="74" t="s">
        <v>62</v>
      </c>
      <c r="AG384" s="75">
        <f>ROUND(((X384*F379/3600)),4)</f>
        <v>8.9999999999999998E-4</v>
      </c>
      <c r="AH384" s="75">
        <f>AB384+AC384+AD384</f>
        <v>4.0000000000000003E-5</v>
      </c>
      <c r="AI384" s="61">
        <f>SUM(AG379:AG384)</f>
        <v>6.4899999999999999E-2</v>
      </c>
      <c r="AJ384" s="61">
        <f>SUM(AH379:AH384)</f>
        <v>4.6499999999999996E-3</v>
      </c>
    </row>
    <row r="385" spans="1:36" ht="12.95" customHeight="1" x14ac:dyDescent="0.25">
      <c r="A385" s="1522" t="s">
        <v>534</v>
      </c>
      <c r="B385" s="1523"/>
      <c r="C385" s="1523"/>
      <c r="D385" s="1523"/>
      <c r="E385" s="1523"/>
      <c r="F385" s="1523"/>
      <c r="G385" s="1523"/>
      <c r="H385" s="1523"/>
      <c r="I385" s="1523"/>
      <c r="J385" s="1523"/>
      <c r="K385" s="1523"/>
      <c r="L385" s="1523"/>
      <c r="M385" s="1523"/>
      <c r="N385" s="1523"/>
      <c r="O385" s="1523"/>
      <c r="P385" s="1523"/>
      <c r="Q385" s="1523"/>
      <c r="R385" s="1523"/>
      <c r="S385" s="1523"/>
      <c r="T385" s="1524"/>
      <c r="U385" s="1524"/>
      <c r="V385" s="1523"/>
      <c r="W385" s="1523"/>
      <c r="X385" s="1523"/>
      <c r="Y385" s="1523"/>
      <c r="Z385" s="1523"/>
      <c r="AA385" s="1523"/>
      <c r="AB385" s="1523"/>
      <c r="AC385" s="1523"/>
      <c r="AD385" s="1523"/>
      <c r="AE385" s="1523"/>
      <c r="AF385" s="1523"/>
      <c r="AG385" s="1523"/>
      <c r="AH385" s="1525"/>
    </row>
    <row r="386" spans="1:36" ht="12.95" customHeight="1" x14ac:dyDescent="0.25">
      <c r="A386" s="506" t="s">
        <v>524</v>
      </c>
      <c r="B386" s="71" t="s">
        <v>211</v>
      </c>
      <c r="C386" s="1128" t="s">
        <v>444</v>
      </c>
      <c r="D386" s="65">
        <v>1</v>
      </c>
      <c r="E386" s="65">
        <v>1</v>
      </c>
      <c r="F386" s="65">
        <v>1</v>
      </c>
      <c r="G386" s="65">
        <v>2</v>
      </c>
      <c r="H386" s="65">
        <f>ROUND((F386/G386),2)</f>
        <v>0.5</v>
      </c>
      <c r="I386" s="65">
        <v>173</v>
      </c>
      <c r="J386" s="65">
        <v>0</v>
      </c>
      <c r="K386" s="66">
        <v>0</v>
      </c>
      <c r="L386" s="66">
        <v>0.01</v>
      </c>
      <c r="M386" s="66">
        <v>0.01</v>
      </c>
      <c r="N386" s="65">
        <v>4</v>
      </c>
      <c r="O386" s="65">
        <v>6</v>
      </c>
      <c r="P386" s="65">
        <v>20</v>
      </c>
      <c r="Q386" s="65">
        <v>1</v>
      </c>
      <c r="R386" s="72">
        <v>1</v>
      </c>
      <c r="S386" s="65">
        <v>2</v>
      </c>
      <c r="T386" s="72">
        <v>4</v>
      </c>
      <c r="U386" s="72">
        <v>4</v>
      </c>
      <c r="V386" s="108">
        <f>ROUND((R386*N386+T386*L386+Q386*D386),4)</f>
        <v>5.04</v>
      </c>
      <c r="W386" s="109">
        <f>ROUND((S386*O386+U386*L386+Q386*D386),4)</f>
        <v>13.04</v>
      </c>
      <c r="X386" s="109">
        <f>ROUND((S386*P386+U386*L386+Q386*D386),4)</f>
        <v>41.04</v>
      </c>
      <c r="Y386" s="109">
        <f>ROUND((T386*M386+Q386*E386),4)</f>
        <v>1.04</v>
      </c>
      <c r="Z386" s="109">
        <f>ROUND((U386*M386+Q386*E386),4)</f>
        <v>1.04</v>
      </c>
      <c r="AA386" s="109">
        <f>ROUND((U386*M386+Q386*E386),4)</f>
        <v>1.04</v>
      </c>
      <c r="AB386" s="109">
        <f>ROUND((H386*(V386+Y386)*G386*I386/1000000),4)</f>
        <v>1.1000000000000001E-3</v>
      </c>
      <c r="AC386" s="109">
        <f>ROUND((H386*(W386+Z386)*G386*J386/1000000),4)</f>
        <v>0</v>
      </c>
      <c r="AD386" s="109">
        <f>ROUND((H386*(X386+AA386)*G386*K386/1000000),4)</f>
        <v>0</v>
      </c>
      <c r="AE386" s="73" t="s">
        <v>48</v>
      </c>
      <c r="AF386" s="74" t="s">
        <v>49</v>
      </c>
      <c r="AG386" s="75">
        <f>ROUND(((X386*F386/3600)*0.8),4)</f>
        <v>9.1000000000000004E-3</v>
      </c>
      <c r="AH386" s="75">
        <f>ROUND(((AB386+AC386+AD386)*0.8),4)</f>
        <v>8.9999999999999998E-4</v>
      </c>
    </row>
    <row r="387" spans="1:36" ht="12.95" customHeight="1" x14ac:dyDescent="0.25">
      <c r="A387" s="570" t="s">
        <v>166</v>
      </c>
      <c r="B387" s="67" t="s">
        <v>212</v>
      </c>
      <c r="C387" s="1129"/>
      <c r="D387" s="67"/>
      <c r="E387" s="67"/>
      <c r="F387" s="67"/>
      <c r="G387" s="67"/>
      <c r="H387" s="67"/>
      <c r="I387" s="67"/>
      <c r="J387" s="67"/>
      <c r="K387" s="67"/>
      <c r="L387" s="68"/>
      <c r="M387" s="68"/>
      <c r="N387" s="67"/>
      <c r="O387" s="67"/>
      <c r="P387" s="67"/>
      <c r="Q387" s="69"/>
      <c r="R387" s="69"/>
      <c r="S387" s="70"/>
      <c r="T387" s="69"/>
      <c r="U387" s="69"/>
      <c r="V387" s="110"/>
      <c r="W387" s="111"/>
      <c r="X387" s="111"/>
      <c r="Y387" s="111"/>
      <c r="Z387" s="111"/>
      <c r="AA387" s="111"/>
      <c r="AB387" s="111"/>
      <c r="AC387" s="111"/>
      <c r="AD387" s="111"/>
      <c r="AE387" s="73" t="s">
        <v>51</v>
      </c>
      <c r="AF387" s="74" t="s">
        <v>52</v>
      </c>
      <c r="AG387" s="75">
        <f>ROUND(((X386*F386/3600)*0.13),4)</f>
        <v>1.5E-3</v>
      </c>
      <c r="AH387" s="75">
        <f>ROUND(((AB386+AC386+AD386)*0.13),4)</f>
        <v>1E-4</v>
      </c>
    </row>
    <row r="388" spans="1:36" ht="12.95" customHeight="1" x14ac:dyDescent="0.25">
      <c r="A388" s="571"/>
      <c r="B388" s="76" t="s">
        <v>525</v>
      </c>
      <c r="C388" s="76"/>
      <c r="D388" s="67"/>
      <c r="E388" s="67"/>
      <c r="F388" s="67"/>
      <c r="G388" s="67"/>
      <c r="H388" s="67"/>
      <c r="I388" s="67"/>
      <c r="J388" s="67"/>
      <c r="K388" s="67"/>
      <c r="L388" s="68"/>
      <c r="M388" s="68"/>
      <c r="N388" s="67"/>
      <c r="O388" s="67"/>
      <c r="P388" s="67"/>
      <c r="Q388" s="75">
        <v>0.1</v>
      </c>
      <c r="R388" s="78">
        <v>0.113</v>
      </c>
      <c r="S388" s="79">
        <v>0.13600000000000001</v>
      </c>
      <c r="T388" s="78">
        <v>0.54</v>
      </c>
      <c r="U388" s="78">
        <v>0.67</v>
      </c>
      <c r="V388" s="108">
        <f>ROUND((R388*N386+T388*L386+Q388*D386),4)</f>
        <v>0.55740000000000001</v>
      </c>
      <c r="W388" s="109">
        <f>ROUND((S388*0.9*O386+U388*0.9*L386+Q388*D386),4)</f>
        <v>0.84040000000000004</v>
      </c>
      <c r="X388" s="109">
        <f>ROUND((S388*P386+U388*L386+Q388*D386),4)</f>
        <v>2.8267000000000002</v>
      </c>
      <c r="Y388" s="109">
        <f>ROUND((T388*M386+Q388*E386),4)</f>
        <v>0.10539999999999999</v>
      </c>
      <c r="Z388" s="109">
        <f>ROUND((U388*0.9*M386+Q388*E386),4)</f>
        <v>0.106</v>
      </c>
      <c r="AA388" s="109">
        <f>ROUND((U388*M386+Q388*E386),4)</f>
        <v>0.1067</v>
      </c>
      <c r="AB388" s="109">
        <f>ROUND((H386*(V388+Y388)*G386*I386/1000000),5)</f>
        <v>1.1E-4</v>
      </c>
      <c r="AC388" s="109">
        <f>ROUND((H386*(W388+Z388)*G386*J386/1000000),5)</f>
        <v>0</v>
      </c>
      <c r="AD388" s="109">
        <f>ROUND((H386*(X388+AA388)*G386*K386/1000000),5)</f>
        <v>0</v>
      </c>
      <c r="AE388" s="73" t="s">
        <v>56</v>
      </c>
      <c r="AF388" s="74" t="s">
        <v>57</v>
      </c>
      <c r="AG388" s="75">
        <f>ROUND(((X388*F386/3600)),4)</f>
        <v>8.0000000000000004E-4</v>
      </c>
      <c r="AH388" s="75">
        <f>AB388+AC388+AD388</f>
        <v>1.1E-4</v>
      </c>
    </row>
    <row r="389" spans="1:36" ht="12.95" customHeight="1" x14ac:dyDescent="0.25">
      <c r="A389" s="571"/>
      <c r="B389" s="132"/>
      <c r="C389" s="67"/>
      <c r="D389" s="67"/>
      <c r="E389" s="67"/>
      <c r="F389" s="67"/>
      <c r="G389" s="67"/>
      <c r="H389" s="67"/>
      <c r="I389" s="67"/>
      <c r="J389" s="67"/>
      <c r="K389" s="67"/>
      <c r="L389" s="68"/>
      <c r="M389" s="68"/>
      <c r="N389" s="67"/>
      <c r="O389" s="67"/>
      <c r="P389" s="67"/>
      <c r="Q389" s="75">
        <v>0.45</v>
      </c>
      <c r="R389" s="78">
        <v>0.4</v>
      </c>
      <c r="S389" s="75">
        <v>1.1000000000000001</v>
      </c>
      <c r="T389" s="78">
        <v>1</v>
      </c>
      <c r="U389" s="78">
        <v>1.2</v>
      </c>
      <c r="V389" s="108">
        <f>ROUND((R389*N386+T389*L386+Q389*D386),4)</f>
        <v>2.06</v>
      </c>
      <c r="W389" s="109">
        <f>ROUND((S389*0.9*O386+U389*0.9*L386+Q389*D386),4)</f>
        <v>6.4008000000000003</v>
      </c>
      <c r="X389" s="109">
        <f>ROUND((S389*P386+U389*L386+Q389*D386),4)</f>
        <v>22.462</v>
      </c>
      <c r="Y389" s="109">
        <f>ROUND((T389*M386+Q389*E386),4)</f>
        <v>0.46</v>
      </c>
      <c r="Z389" s="109">
        <f>ROUND((U389*0.9*M386+Q389*E386),4)</f>
        <v>0.46079999999999999</v>
      </c>
      <c r="AA389" s="109">
        <f>ROUND((U389*M386+Q389*E386),4)</f>
        <v>0.46200000000000002</v>
      </c>
      <c r="AB389" s="109">
        <f>ROUND((H386*(V389+Y389)*G386*I386/1000000),4)</f>
        <v>4.0000000000000002E-4</v>
      </c>
      <c r="AC389" s="109">
        <f>ROUND((H386*(W389+Z389)*G386*J386/1000000),4)</f>
        <v>0</v>
      </c>
      <c r="AD389" s="109">
        <f>ROUND((H386*(X389+AA389)*G386*K386/1000000),4)</f>
        <v>0</v>
      </c>
      <c r="AE389" s="73" t="s">
        <v>177</v>
      </c>
      <c r="AF389" s="74" t="s">
        <v>178</v>
      </c>
      <c r="AG389" s="75">
        <f>ROUND(((X389*F386/3600)),4)</f>
        <v>6.1999999999999998E-3</v>
      </c>
      <c r="AH389" s="75">
        <f>AB389+AC389+AD389</f>
        <v>4.0000000000000002E-4</v>
      </c>
    </row>
    <row r="390" spans="1:36" ht="12.95" customHeight="1" x14ac:dyDescent="0.25">
      <c r="A390" s="572"/>
      <c r="B390" s="67"/>
      <c r="C390" s="67"/>
      <c r="D390" s="67"/>
      <c r="E390" s="67"/>
      <c r="F390" s="67"/>
      <c r="G390" s="67"/>
      <c r="H390" s="67"/>
      <c r="I390" s="67"/>
      <c r="J390" s="67"/>
      <c r="K390" s="67"/>
      <c r="L390" s="68"/>
      <c r="M390" s="68"/>
      <c r="N390" s="67"/>
      <c r="O390" s="67"/>
      <c r="P390" s="67"/>
      <c r="Q390" s="75">
        <v>2.9</v>
      </c>
      <c r="R390" s="78">
        <v>3</v>
      </c>
      <c r="S390" s="75">
        <v>8.1999999999999993</v>
      </c>
      <c r="T390" s="78">
        <v>6.1</v>
      </c>
      <c r="U390" s="78">
        <v>7.4</v>
      </c>
      <c r="V390" s="167">
        <f>ROUND((R390*N386+T390*L386+Q390*D386),4)</f>
        <v>14.961</v>
      </c>
      <c r="W390" s="168">
        <f>ROUND((S390*0.9*O386+U390*0.9*L386+Q390*D386),4)</f>
        <v>47.246600000000001</v>
      </c>
      <c r="X390" s="168">
        <f>ROUND((S390*P386+U390*L386+Q390*D386),4)</f>
        <v>166.97399999999999</v>
      </c>
      <c r="Y390" s="168">
        <f>ROUND((T390*M386+Q390*E386),4)</f>
        <v>2.9609999999999999</v>
      </c>
      <c r="Z390" s="168">
        <f>ROUND((U390*0.9*M386+Q390*E386),4)</f>
        <v>2.9666000000000001</v>
      </c>
      <c r="AA390" s="168">
        <f>ROUND((U390*M386+Q390*E386),4)</f>
        <v>2.9740000000000002</v>
      </c>
      <c r="AB390" s="168">
        <f>ROUND((H386*(V390+Y390)*G386*I386/1000000),4)</f>
        <v>3.0999999999999999E-3</v>
      </c>
      <c r="AC390" s="168">
        <f>ROUND((H386*(W390+Z390)*G386*J386/1000000),4)</f>
        <v>0</v>
      </c>
      <c r="AD390" s="168">
        <f>ROUND((H386*(X390+AA390)*G386*K386/1000000),4)</f>
        <v>0</v>
      </c>
      <c r="AE390" s="73" t="s">
        <v>65</v>
      </c>
      <c r="AF390" s="74" t="s">
        <v>66</v>
      </c>
      <c r="AG390" s="75">
        <f>ROUND(((X390*F386/3600)),4)</f>
        <v>4.6399999999999997E-2</v>
      </c>
      <c r="AH390" s="75">
        <f>AB390+AC390+AD390</f>
        <v>3.0999999999999999E-3</v>
      </c>
    </row>
    <row r="391" spans="1:36" ht="12.95" customHeight="1" x14ac:dyDescent="0.25">
      <c r="A391" s="573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70"/>
      <c r="M391" s="70"/>
      <c r="N391" s="69"/>
      <c r="O391" s="69"/>
      <c r="P391" s="69"/>
      <c r="Q391" s="75">
        <v>0.04</v>
      </c>
      <c r="R391" s="78">
        <v>0.04</v>
      </c>
      <c r="S391" s="75">
        <v>0.16</v>
      </c>
      <c r="T391" s="78">
        <v>0.3</v>
      </c>
      <c r="U391" s="78">
        <v>0.4</v>
      </c>
      <c r="V391" s="167">
        <f>ROUND((R391*N386+T391*L386+Q391*D386),4)</f>
        <v>0.20300000000000001</v>
      </c>
      <c r="W391" s="168">
        <f>ROUND((S391*0.9*O386+U391*0.9*L386+Q391*D386),4)</f>
        <v>0.90759999999999996</v>
      </c>
      <c r="X391" s="168">
        <f>ROUND((S391*P386+U391*L386+Q391*D386),4)</f>
        <v>3.2440000000000002</v>
      </c>
      <c r="Y391" s="168">
        <f>ROUND((T391*M386+Q391*E386),4)</f>
        <v>4.2999999999999997E-2</v>
      </c>
      <c r="Z391" s="168">
        <f>ROUND((U391*0.9*M386+Q391*E386),4)</f>
        <v>4.36E-2</v>
      </c>
      <c r="AA391" s="168">
        <f>ROUND((U391*M386+Q391*E386),4)</f>
        <v>4.3999999999999997E-2</v>
      </c>
      <c r="AB391" s="168">
        <f>ROUND((H386*(V391+Y391)*G386*I386/1000000),5)</f>
        <v>4.0000000000000003E-5</v>
      </c>
      <c r="AC391" s="168">
        <f>ROUND((H386*(W391+Z391)*G386*J386/1000000),5)</f>
        <v>0</v>
      </c>
      <c r="AD391" s="168">
        <f>ROUND((H386*(X391+AA391)*G386*K386/1000000),4)</f>
        <v>0</v>
      </c>
      <c r="AE391" s="73" t="s">
        <v>213</v>
      </c>
      <c r="AF391" s="74" t="s">
        <v>62</v>
      </c>
      <c r="AG391" s="75">
        <f>ROUND(((X391*F386/3600)),4)</f>
        <v>8.9999999999999998E-4</v>
      </c>
      <c r="AH391" s="75">
        <f>AB391+AC391+AD391</f>
        <v>4.0000000000000003E-5</v>
      </c>
      <c r="AI391" s="61">
        <f>SUM(AG386:AG391)</f>
        <v>6.4899999999999999E-2</v>
      </c>
      <c r="AJ391" s="61">
        <f>SUM(AH386:AH391)</f>
        <v>4.6499999999999996E-3</v>
      </c>
    </row>
    <row r="392" spans="1:36" ht="12.95" customHeight="1" x14ac:dyDescent="0.25">
      <c r="A392" s="1522" t="s">
        <v>729</v>
      </c>
      <c r="B392" s="1523"/>
      <c r="C392" s="1523"/>
      <c r="D392" s="1523"/>
      <c r="E392" s="1523"/>
      <c r="F392" s="1523"/>
      <c r="G392" s="1523"/>
      <c r="H392" s="1523"/>
      <c r="I392" s="1523"/>
      <c r="J392" s="1523"/>
      <c r="K392" s="1523"/>
      <c r="L392" s="1523"/>
      <c r="M392" s="1523"/>
      <c r="N392" s="1523"/>
      <c r="O392" s="1523"/>
      <c r="P392" s="1523"/>
      <c r="Q392" s="1523"/>
      <c r="R392" s="1523"/>
      <c r="S392" s="1523"/>
      <c r="T392" s="1524"/>
      <c r="U392" s="1524"/>
      <c r="V392" s="1523"/>
      <c r="W392" s="1523"/>
      <c r="X392" s="1523"/>
      <c r="Y392" s="1523"/>
      <c r="Z392" s="1523"/>
      <c r="AA392" s="1523"/>
      <c r="AB392" s="1523"/>
      <c r="AC392" s="1523"/>
      <c r="AD392" s="1523"/>
      <c r="AE392" s="1523"/>
      <c r="AF392" s="1523"/>
      <c r="AG392" s="1523"/>
      <c r="AH392" s="1525"/>
    </row>
    <row r="393" spans="1:36" ht="12.95" customHeight="1" x14ac:dyDescent="0.25">
      <c r="A393" s="506" t="s">
        <v>529</v>
      </c>
      <c r="B393" s="71" t="s">
        <v>211</v>
      </c>
      <c r="C393" s="1128" t="s">
        <v>444</v>
      </c>
      <c r="D393" s="65">
        <v>1</v>
      </c>
      <c r="E393" s="65">
        <v>1</v>
      </c>
      <c r="F393" s="65">
        <v>1</v>
      </c>
      <c r="G393" s="65">
        <v>1</v>
      </c>
      <c r="H393" s="65">
        <f>ROUND((F393/G393),2)</f>
        <v>1</v>
      </c>
      <c r="I393" s="65">
        <v>180</v>
      </c>
      <c r="J393" s="65">
        <v>90</v>
      </c>
      <c r="K393" s="66">
        <v>95</v>
      </c>
      <c r="L393" s="66">
        <v>0.01</v>
      </c>
      <c r="M393" s="66">
        <v>0.01</v>
      </c>
      <c r="N393" s="65">
        <v>4</v>
      </c>
      <c r="O393" s="65">
        <v>6</v>
      </c>
      <c r="P393" s="65">
        <v>20</v>
      </c>
      <c r="Q393" s="65">
        <v>1</v>
      </c>
      <c r="R393" s="72">
        <v>1</v>
      </c>
      <c r="S393" s="65">
        <v>2</v>
      </c>
      <c r="T393" s="72">
        <v>4</v>
      </c>
      <c r="U393" s="72">
        <v>4</v>
      </c>
      <c r="V393" s="108">
        <f>ROUND((R393*N393+T393*L393+Q393*D393),4)</f>
        <v>5.04</v>
      </c>
      <c r="W393" s="109">
        <f>ROUND((S393*O393+U393*L393+Q393*D393),4)</f>
        <v>13.04</v>
      </c>
      <c r="X393" s="109">
        <f>ROUND((S393*P393+U393*L393+Q393*D393),4)</f>
        <v>41.04</v>
      </c>
      <c r="Y393" s="109">
        <f>ROUND((T393*M393+Q393*E393),4)</f>
        <v>1.04</v>
      </c>
      <c r="Z393" s="109">
        <f>ROUND((U393*M393+Q393*E393),4)</f>
        <v>1.04</v>
      </c>
      <c r="AA393" s="109">
        <f>ROUND((U393*M393+Q393*E393),4)</f>
        <v>1.04</v>
      </c>
      <c r="AB393" s="109">
        <f>ROUND((H393*(V393+Y393)*G393*I393/1000000),4)</f>
        <v>1.1000000000000001E-3</v>
      </c>
      <c r="AC393" s="109">
        <f>ROUND((H393*(W393+Z393)*G393*J393/1000000),4)</f>
        <v>1.2999999999999999E-3</v>
      </c>
      <c r="AD393" s="109">
        <f>ROUND((H393*(X393+AA393)*G393*K393/1000000),4)</f>
        <v>4.0000000000000001E-3</v>
      </c>
      <c r="AE393" s="73" t="s">
        <v>48</v>
      </c>
      <c r="AF393" s="74" t="s">
        <v>49</v>
      </c>
      <c r="AG393" s="75">
        <f>ROUND(((X393*F393/3600)*0.8),4)</f>
        <v>9.1000000000000004E-3</v>
      </c>
      <c r="AH393" s="75">
        <f>ROUND(((AB393+AC393+AD393)*0.8),4)</f>
        <v>5.1000000000000004E-3</v>
      </c>
    </row>
    <row r="394" spans="1:36" ht="12.95" customHeight="1" x14ac:dyDescent="0.25">
      <c r="A394" s="570" t="s">
        <v>150</v>
      </c>
      <c r="B394" s="67" t="s">
        <v>212</v>
      </c>
      <c r="C394" s="1129"/>
      <c r="D394" s="67"/>
      <c r="E394" s="67"/>
      <c r="F394" s="67"/>
      <c r="G394" s="67"/>
      <c r="H394" s="67"/>
      <c r="I394" s="67"/>
      <c r="J394" s="67"/>
      <c r="K394" s="67"/>
      <c r="L394" s="68"/>
      <c r="M394" s="68"/>
      <c r="N394" s="67"/>
      <c r="O394" s="67"/>
      <c r="P394" s="67"/>
      <c r="Q394" s="69"/>
      <c r="R394" s="69"/>
      <c r="S394" s="70"/>
      <c r="T394" s="69"/>
      <c r="U394" s="69"/>
      <c r="V394" s="110"/>
      <c r="W394" s="111"/>
      <c r="X394" s="111"/>
      <c r="Y394" s="111"/>
      <c r="Z394" s="111"/>
      <c r="AA394" s="111"/>
      <c r="AB394" s="111"/>
      <c r="AC394" s="111"/>
      <c r="AD394" s="111"/>
      <c r="AE394" s="73" t="s">
        <v>51</v>
      </c>
      <c r="AF394" s="74" t="s">
        <v>52</v>
      </c>
      <c r="AG394" s="75">
        <f>ROUND(((X393*F393/3600)*0.13),4)</f>
        <v>1.5E-3</v>
      </c>
      <c r="AH394" s="75">
        <f>ROUND(((AB393+AC393+AD393)*0.13),4)</f>
        <v>8.0000000000000004E-4</v>
      </c>
    </row>
    <row r="395" spans="1:36" ht="12.95" customHeight="1" x14ac:dyDescent="0.25">
      <c r="A395" s="571"/>
      <c r="B395" s="76" t="s">
        <v>491</v>
      </c>
      <c r="C395" s="76"/>
      <c r="D395" s="67"/>
      <c r="E395" s="67"/>
      <c r="F395" s="67"/>
      <c r="G395" s="67"/>
      <c r="H395" s="67"/>
      <c r="I395" s="67"/>
      <c r="J395" s="67"/>
      <c r="K395" s="67"/>
      <c r="L395" s="68"/>
      <c r="M395" s="68"/>
      <c r="N395" s="67"/>
      <c r="O395" s="67"/>
      <c r="P395" s="67"/>
      <c r="Q395" s="75">
        <v>0.1</v>
      </c>
      <c r="R395" s="78">
        <v>0.113</v>
      </c>
      <c r="S395" s="79">
        <v>0.13600000000000001</v>
      </c>
      <c r="T395" s="78">
        <v>0.54</v>
      </c>
      <c r="U395" s="78">
        <v>0.67</v>
      </c>
      <c r="V395" s="108">
        <f>ROUND((R395*N393+T395*L393+Q395*D393),4)</f>
        <v>0.55740000000000001</v>
      </c>
      <c r="W395" s="109">
        <f>ROUND((S395*0.9*O393+U395*0.9*L393+Q395*D393),4)</f>
        <v>0.84040000000000004</v>
      </c>
      <c r="X395" s="109">
        <f>ROUND((S395*P393+U395*L393+Q395*D393),4)</f>
        <v>2.8267000000000002</v>
      </c>
      <c r="Y395" s="109">
        <f>ROUND((T395*M393+Q395*E393),4)</f>
        <v>0.10539999999999999</v>
      </c>
      <c r="Z395" s="109">
        <f>ROUND((U395*0.9*M393+Q395*E393),4)</f>
        <v>0.106</v>
      </c>
      <c r="AA395" s="109">
        <f>ROUND((U395*M393+Q395*E393),4)</f>
        <v>0.1067</v>
      </c>
      <c r="AB395" s="109">
        <f>ROUND((H393*(V395+Y395)*G393*I393/1000000),5)</f>
        <v>1.2E-4</v>
      </c>
      <c r="AC395" s="109">
        <f>ROUND((H393*(W395+Z395)*G393*J393/1000000),5)</f>
        <v>9.0000000000000006E-5</v>
      </c>
      <c r="AD395" s="109">
        <f>ROUND((H393*(X395+AA395)*G393*K393/1000000),5)</f>
        <v>2.7999999999999998E-4</v>
      </c>
      <c r="AE395" s="73" t="s">
        <v>56</v>
      </c>
      <c r="AF395" s="74" t="s">
        <v>57</v>
      </c>
      <c r="AG395" s="75">
        <f>ROUND(((X395*F393/3600)),4)</f>
        <v>8.0000000000000004E-4</v>
      </c>
      <c r="AH395" s="75">
        <f>AB395+AC395+AD395</f>
        <v>4.8999999999999998E-4</v>
      </c>
    </row>
    <row r="396" spans="1:36" ht="12.95" customHeight="1" x14ac:dyDescent="0.25">
      <c r="A396" s="571"/>
      <c r="B396" s="132"/>
      <c r="C396" s="67"/>
      <c r="D396" s="67"/>
      <c r="E396" s="67"/>
      <c r="F396" s="67"/>
      <c r="G396" s="67"/>
      <c r="H396" s="67"/>
      <c r="I396" s="67"/>
      <c r="J396" s="67"/>
      <c r="K396" s="67"/>
      <c r="L396" s="68"/>
      <c r="M396" s="68"/>
      <c r="N396" s="67"/>
      <c r="O396" s="67"/>
      <c r="P396" s="67"/>
      <c r="Q396" s="75">
        <v>0.45</v>
      </c>
      <c r="R396" s="78">
        <v>0.4</v>
      </c>
      <c r="S396" s="75">
        <v>1.1000000000000001</v>
      </c>
      <c r="T396" s="78">
        <v>1</v>
      </c>
      <c r="U396" s="78">
        <v>1.2</v>
      </c>
      <c r="V396" s="108">
        <f>ROUND((R396*N393+T396*L393+Q396*D393),4)</f>
        <v>2.06</v>
      </c>
      <c r="W396" s="109">
        <f>ROUND((S396*0.9*O393+U396*0.9*L393+Q396*D393),4)</f>
        <v>6.4008000000000003</v>
      </c>
      <c r="X396" s="109">
        <f>ROUND((S396*P393+U396*L393+Q396*D393),4)</f>
        <v>22.462</v>
      </c>
      <c r="Y396" s="109">
        <f>ROUND((T396*M393+Q396*E393),4)</f>
        <v>0.46</v>
      </c>
      <c r="Z396" s="109">
        <f>ROUND((U396*0.9*M393+Q396*E393),4)</f>
        <v>0.46079999999999999</v>
      </c>
      <c r="AA396" s="109">
        <f>ROUND((U396*M393+Q396*E393),4)</f>
        <v>0.46200000000000002</v>
      </c>
      <c r="AB396" s="109">
        <f>ROUND((H393*(V396+Y396)*G393*I393/1000000),4)</f>
        <v>5.0000000000000001E-4</v>
      </c>
      <c r="AC396" s="109">
        <f>ROUND((H393*(W396+Z396)*G393*J393/1000000),4)</f>
        <v>5.9999999999999995E-4</v>
      </c>
      <c r="AD396" s="109">
        <f>ROUND((H393*(X396+AA396)*G393*K393/1000000),4)</f>
        <v>2.2000000000000001E-3</v>
      </c>
      <c r="AE396" s="73" t="s">
        <v>177</v>
      </c>
      <c r="AF396" s="74" t="s">
        <v>178</v>
      </c>
      <c r="AG396" s="75">
        <f>ROUND(((X396*F393/3600)),4)</f>
        <v>6.1999999999999998E-3</v>
      </c>
      <c r="AH396" s="75">
        <f>AB396+AC396+AD396</f>
        <v>3.3E-3</v>
      </c>
    </row>
    <row r="397" spans="1:36" ht="12.95" customHeight="1" x14ac:dyDescent="0.25">
      <c r="A397" s="572"/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8"/>
      <c r="M397" s="68"/>
      <c r="N397" s="67"/>
      <c r="O397" s="67"/>
      <c r="P397" s="67"/>
      <c r="Q397" s="75">
        <v>2.9</v>
      </c>
      <c r="R397" s="78">
        <v>3</v>
      </c>
      <c r="S397" s="75">
        <v>8.1999999999999993</v>
      </c>
      <c r="T397" s="78">
        <v>6.1</v>
      </c>
      <c r="U397" s="78">
        <v>7.4</v>
      </c>
      <c r="V397" s="167">
        <f>ROUND((R397*N393+T397*L393+Q397*D393),4)</f>
        <v>14.961</v>
      </c>
      <c r="W397" s="168">
        <f>ROUND((S397*0.9*O393+U397*0.9*L393+Q397*D393),4)</f>
        <v>47.246600000000001</v>
      </c>
      <c r="X397" s="168">
        <f>ROUND((S397*P393+U397*L393+Q397*D393),4)</f>
        <v>166.97399999999999</v>
      </c>
      <c r="Y397" s="168">
        <f>ROUND((T397*M393+Q397*E393),4)</f>
        <v>2.9609999999999999</v>
      </c>
      <c r="Z397" s="168">
        <f>ROUND((U397*0.9*M393+Q397*E393),4)</f>
        <v>2.9666000000000001</v>
      </c>
      <c r="AA397" s="168">
        <f>ROUND((U397*M393+Q397*E393),4)</f>
        <v>2.9740000000000002</v>
      </c>
      <c r="AB397" s="168">
        <f>ROUND((H393*(V397+Y397)*G393*I393/1000000),4)</f>
        <v>3.2000000000000002E-3</v>
      </c>
      <c r="AC397" s="168">
        <f>ROUND((H393*(W397+Z397)*G393*J393/1000000),4)</f>
        <v>4.4999999999999997E-3</v>
      </c>
      <c r="AD397" s="168">
        <f>ROUND((H393*(X397+AA397)*G393*K393/1000000),4)</f>
        <v>1.61E-2</v>
      </c>
      <c r="AE397" s="73" t="s">
        <v>65</v>
      </c>
      <c r="AF397" s="74" t="s">
        <v>66</v>
      </c>
      <c r="AG397" s="75">
        <f>ROUND(((X397*F393/3600)),4)</f>
        <v>4.6399999999999997E-2</v>
      </c>
      <c r="AH397" s="75">
        <f>AB397+AC397+AD397</f>
        <v>2.3800000000000002E-2</v>
      </c>
    </row>
    <row r="398" spans="1:36" ht="12.95" customHeight="1" x14ac:dyDescent="0.25">
      <c r="A398" s="573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70"/>
      <c r="M398" s="70"/>
      <c r="N398" s="69"/>
      <c r="O398" s="69"/>
      <c r="P398" s="69"/>
      <c r="Q398" s="75">
        <v>0.04</v>
      </c>
      <c r="R398" s="78">
        <v>0.04</v>
      </c>
      <c r="S398" s="75">
        <v>0.16</v>
      </c>
      <c r="T398" s="78">
        <v>0.3</v>
      </c>
      <c r="U398" s="78">
        <v>0.4</v>
      </c>
      <c r="V398" s="167">
        <f>ROUND((R398*N393+T398*L393+Q398*D393),4)</f>
        <v>0.20300000000000001</v>
      </c>
      <c r="W398" s="168">
        <f>ROUND((S398*0.9*O393+U398*0.9*L393+Q398*D393),4)</f>
        <v>0.90759999999999996</v>
      </c>
      <c r="X398" s="168">
        <f>ROUND((S398*P393+U398*L393+Q398*D393),4)</f>
        <v>3.2440000000000002</v>
      </c>
      <c r="Y398" s="168">
        <f>ROUND((T398*M393+Q398*E393),4)</f>
        <v>4.2999999999999997E-2</v>
      </c>
      <c r="Z398" s="168">
        <f>ROUND((U398*0.9*M393+Q398*E393),4)</f>
        <v>4.36E-2</v>
      </c>
      <c r="AA398" s="168">
        <f>ROUND((U398*M393+Q398*E393),4)</f>
        <v>4.3999999999999997E-2</v>
      </c>
      <c r="AB398" s="168">
        <f>ROUND((H393*(V398+Y398)*G393*I393/1000000),5)</f>
        <v>4.0000000000000003E-5</v>
      </c>
      <c r="AC398" s="168">
        <f>ROUND((H393*(W398+Z398)*G393*J393/1000000),5)</f>
        <v>9.0000000000000006E-5</v>
      </c>
      <c r="AD398" s="168">
        <f>ROUND((H393*(X398+AA398)*G393*K393/1000000),4)</f>
        <v>2.9999999999999997E-4</v>
      </c>
      <c r="AE398" s="73" t="s">
        <v>213</v>
      </c>
      <c r="AF398" s="74" t="s">
        <v>62</v>
      </c>
      <c r="AG398" s="75">
        <f>ROUND(((X398*F393/3600)),4)</f>
        <v>8.9999999999999998E-4</v>
      </c>
      <c r="AH398" s="75">
        <f>AB398+AC398+AD398</f>
        <v>4.2999999999999999E-4</v>
      </c>
      <c r="AI398" s="61">
        <f>SUM(AG393:AG398)</f>
        <v>6.4899999999999999E-2</v>
      </c>
      <c r="AJ398" s="61">
        <f>SUM(AH393:AH398)</f>
        <v>3.3920000000000006E-2</v>
      </c>
    </row>
    <row r="399" spans="1:36" ht="12.95" customHeight="1" x14ac:dyDescent="0.25">
      <c r="A399" s="1522" t="s">
        <v>561</v>
      </c>
      <c r="B399" s="1523"/>
      <c r="C399" s="1523"/>
      <c r="D399" s="1523"/>
      <c r="E399" s="1523"/>
      <c r="F399" s="1523"/>
      <c r="G399" s="1523"/>
      <c r="H399" s="1523"/>
      <c r="I399" s="1523"/>
      <c r="J399" s="1523"/>
      <c r="K399" s="1523"/>
      <c r="L399" s="1523"/>
      <c r="M399" s="1523"/>
      <c r="N399" s="1523"/>
      <c r="O399" s="1523"/>
      <c r="P399" s="1523"/>
      <c r="Q399" s="1523"/>
      <c r="R399" s="1523"/>
      <c r="S399" s="1523"/>
      <c r="T399" s="1524"/>
      <c r="U399" s="1524"/>
      <c r="V399" s="1523"/>
      <c r="W399" s="1523"/>
      <c r="X399" s="1523"/>
      <c r="Y399" s="1523"/>
      <c r="Z399" s="1523"/>
      <c r="AA399" s="1523"/>
      <c r="AB399" s="1523"/>
      <c r="AC399" s="1523"/>
      <c r="AD399" s="1523"/>
      <c r="AE399" s="1523"/>
      <c r="AF399" s="1523"/>
      <c r="AG399" s="1523"/>
      <c r="AH399" s="1525"/>
    </row>
    <row r="400" spans="1:36" ht="12.95" customHeight="1" x14ac:dyDescent="0.25">
      <c r="A400" s="506" t="s">
        <v>532</v>
      </c>
      <c r="B400" s="71" t="s">
        <v>211</v>
      </c>
      <c r="C400" s="1128" t="s">
        <v>444</v>
      </c>
      <c r="D400" s="65">
        <v>1</v>
      </c>
      <c r="E400" s="65">
        <v>1</v>
      </c>
      <c r="F400" s="65">
        <v>1</v>
      </c>
      <c r="G400" s="65">
        <v>1</v>
      </c>
      <c r="H400" s="65">
        <f>ROUND((F400/G400),2)</f>
        <v>1</v>
      </c>
      <c r="I400" s="65">
        <v>180</v>
      </c>
      <c r="J400" s="65">
        <v>90</v>
      </c>
      <c r="K400" s="66">
        <v>95</v>
      </c>
      <c r="L400" s="66">
        <v>0.01</v>
      </c>
      <c r="M400" s="66">
        <v>0.01</v>
      </c>
      <c r="N400" s="65">
        <v>4</v>
      </c>
      <c r="O400" s="65">
        <v>6</v>
      </c>
      <c r="P400" s="65">
        <v>20</v>
      </c>
      <c r="Q400" s="65">
        <v>1</v>
      </c>
      <c r="R400" s="72">
        <v>1</v>
      </c>
      <c r="S400" s="65">
        <v>2</v>
      </c>
      <c r="T400" s="72">
        <v>4</v>
      </c>
      <c r="U400" s="72">
        <v>4</v>
      </c>
      <c r="V400" s="108">
        <f>ROUND((R400*N400+T400*L400+Q400*D400),4)</f>
        <v>5.04</v>
      </c>
      <c r="W400" s="109">
        <f>ROUND((S400*O400+U400*L400+Q400*D400),4)</f>
        <v>13.04</v>
      </c>
      <c r="X400" s="109">
        <f>ROUND((S400*P400+U400*L400+Q400*D400),4)</f>
        <v>41.04</v>
      </c>
      <c r="Y400" s="109">
        <f>ROUND((T400*M400+Q400*E400),4)</f>
        <v>1.04</v>
      </c>
      <c r="Z400" s="109">
        <f>ROUND((U400*M400+Q400*E400),4)</f>
        <v>1.04</v>
      </c>
      <c r="AA400" s="109">
        <f>ROUND((U400*M400+Q400*E400),4)</f>
        <v>1.04</v>
      </c>
      <c r="AB400" s="109">
        <f>ROUND((H400*(V400+Y400)*G400*I400/1000000),4)</f>
        <v>1.1000000000000001E-3</v>
      </c>
      <c r="AC400" s="109">
        <f>ROUND((H400*(W400+Z400)*G400*J400/1000000),4)</f>
        <v>1.2999999999999999E-3</v>
      </c>
      <c r="AD400" s="109">
        <f>ROUND((H400*(X400+AA400)*G400*K400/1000000),4)</f>
        <v>4.0000000000000001E-3</v>
      </c>
      <c r="AE400" s="73" t="s">
        <v>48</v>
      </c>
      <c r="AF400" s="74" t="s">
        <v>49</v>
      </c>
      <c r="AG400" s="75">
        <f>ROUND(((X400*F400/3600)*0.8),4)</f>
        <v>9.1000000000000004E-3</v>
      </c>
      <c r="AH400" s="75">
        <f>ROUND(((AB400+AC400+AD400)*0.8),4)</f>
        <v>5.1000000000000004E-3</v>
      </c>
    </row>
    <row r="401" spans="1:36" ht="12.95" customHeight="1" x14ac:dyDescent="0.25">
      <c r="A401" s="570" t="s">
        <v>166</v>
      </c>
      <c r="B401" s="67" t="s">
        <v>212</v>
      </c>
      <c r="C401" s="1129"/>
      <c r="D401" s="67"/>
      <c r="E401" s="67"/>
      <c r="F401" s="67"/>
      <c r="G401" s="67"/>
      <c r="H401" s="67"/>
      <c r="I401" s="67"/>
      <c r="J401" s="67"/>
      <c r="K401" s="67"/>
      <c r="L401" s="68"/>
      <c r="M401" s="68"/>
      <c r="N401" s="67"/>
      <c r="O401" s="67"/>
      <c r="P401" s="67"/>
      <c r="Q401" s="69"/>
      <c r="R401" s="69"/>
      <c r="S401" s="70"/>
      <c r="T401" s="69"/>
      <c r="U401" s="69"/>
      <c r="V401" s="110"/>
      <c r="W401" s="111"/>
      <c r="X401" s="111"/>
      <c r="Y401" s="111"/>
      <c r="Z401" s="111"/>
      <c r="AA401" s="111"/>
      <c r="AB401" s="111"/>
      <c r="AC401" s="111"/>
      <c r="AD401" s="111"/>
      <c r="AE401" s="73" t="s">
        <v>51</v>
      </c>
      <c r="AF401" s="74" t="s">
        <v>52</v>
      </c>
      <c r="AG401" s="75">
        <f>ROUND(((X400*F400/3600)*0.13),4)</f>
        <v>1.5E-3</v>
      </c>
      <c r="AH401" s="75">
        <f>ROUND(((AB400+AC400+AD400)*0.13),4)</f>
        <v>8.0000000000000004E-4</v>
      </c>
    </row>
    <row r="402" spans="1:36" ht="12.95" customHeight="1" x14ac:dyDescent="0.25">
      <c r="A402" s="571"/>
      <c r="B402" s="76" t="s">
        <v>491</v>
      </c>
      <c r="C402" s="76"/>
      <c r="D402" s="67"/>
      <c r="E402" s="67"/>
      <c r="F402" s="67"/>
      <c r="G402" s="67"/>
      <c r="H402" s="67"/>
      <c r="I402" s="67"/>
      <c r="J402" s="67"/>
      <c r="K402" s="67"/>
      <c r="L402" s="68"/>
      <c r="M402" s="68"/>
      <c r="N402" s="67"/>
      <c r="O402" s="67"/>
      <c r="P402" s="67"/>
      <c r="Q402" s="75">
        <v>0.1</v>
      </c>
      <c r="R402" s="78">
        <v>0.113</v>
      </c>
      <c r="S402" s="79">
        <v>0.13600000000000001</v>
      </c>
      <c r="T402" s="78">
        <v>0.54</v>
      </c>
      <c r="U402" s="78">
        <v>0.67</v>
      </c>
      <c r="V402" s="108">
        <f>ROUND((R402*N400+T402*L400+Q402*D400),4)</f>
        <v>0.55740000000000001</v>
      </c>
      <c r="W402" s="109">
        <f>ROUND((S402*0.9*O400+U402*0.9*L400+Q402*D400),4)</f>
        <v>0.84040000000000004</v>
      </c>
      <c r="X402" s="109">
        <f>ROUND((S402*P400+U402*L400+Q402*D400),4)</f>
        <v>2.8267000000000002</v>
      </c>
      <c r="Y402" s="109">
        <f>ROUND((T402*M400+Q402*E400),4)</f>
        <v>0.10539999999999999</v>
      </c>
      <c r="Z402" s="109">
        <f>ROUND((U402*0.9*M400+Q402*E400),4)</f>
        <v>0.106</v>
      </c>
      <c r="AA402" s="109">
        <f>ROUND((U402*M400+Q402*E400),4)</f>
        <v>0.1067</v>
      </c>
      <c r="AB402" s="109">
        <f>ROUND((H400*(V402+Y402)*G400*I400/1000000),5)</f>
        <v>1.2E-4</v>
      </c>
      <c r="AC402" s="109">
        <f>ROUND((H400*(W402+Z402)*G400*J400/1000000),5)</f>
        <v>9.0000000000000006E-5</v>
      </c>
      <c r="AD402" s="109">
        <f>ROUND((H400*(X402+AA402)*G400*K400/1000000),5)</f>
        <v>2.7999999999999998E-4</v>
      </c>
      <c r="AE402" s="73" t="s">
        <v>56</v>
      </c>
      <c r="AF402" s="74" t="s">
        <v>57</v>
      </c>
      <c r="AG402" s="75">
        <f>ROUND(((X402*F400/3600)),4)</f>
        <v>8.0000000000000004E-4</v>
      </c>
      <c r="AH402" s="75">
        <f>AB402+AC402+AD402</f>
        <v>4.8999999999999998E-4</v>
      </c>
    </row>
    <row r="403" spans="1:36" ht="12.95" customHeight="1" x14ac:dyDescent="0.25">
      <c r="A403" s="571"/>
      <c r="B403" s="132"/>
      <c r="C403" s="67"/>
      <c r="D403" s="67"/>
      <c r="E403" s="67"/>
      <c r="F403" s="67"/>
      <c r="G403" s="67"/>
      <c r="H403" s="67"/>
      <c r="I403" s="67"/>
      <c r="J403" s="67"/>
      <c r="K403" s="67"/>
      <c r="L403" s="68"/>
      <c r="M403" s="68"/>
      <c r="N403" s="67"/>
      <c r="O403" s="67"/>
      <c r="P403" s="67"/>
      <c r="Q403" s="75">
        <v>0.45</v>
      </c>
      <c r="R403" s="78">
        <v>0.4</v>
      </c>
      <c r="S403" s="75">
        <v>1.1000000000000001</v>
      </c>
      <c r="T403" s="78">
        <v>1</v>
      </c>
      <c r="U403" s="78">
        <v>1.2</v>
      </c>
      <c r="V403" s="108">
        <f>ROUND((R403*N400+T403*L400+Q403*D400),4)</f>
        <v>2.06</v>
      </c>
      <c r="W403" s="109">
        <f>ROUND((S403*0.9*O400+U403*0.9*L400+Q403*D400),4)</f>
        <v>6.4008000000000003</v>
      </c>
      <c r="X403" s="109">
        <f>ROUND((S403*P400+U403*L400+Q403*D400),4)</f>
        <v>22.462</v>
      </c>
      <c r="Y403" s="109">
        <f>ROUND((T403*M400+Q403*E400),4)</f>
        <v>0.46</v>
      </c>
      <c r="Z403" s="109">
        <f>ROUND((U403*0.9*M400+Q403*E400),4)</f>
        <v>0.46079999999999999</v>
      </c>
      <c r="AA403" s="109">
        <f>ROUND((U403*M400+Q403*E400),4)</f>
        <v>0.46200000000000002</v>
      </c>
      <c r="AB403" s="109">
        <f>ROUND((H400*(V403+Y403)*G400*I400/1000000),4)</f>
        <v>5.0000000000000001E-4</v>
      </c>
      <c r="AC403" s="109">
        <f>ROUND((H400*(W403+Z403)*G400*J400/1000000),4)</f>
        <v>5.9999999999999995E-4</v>
      </c>
      <c r="AD403" s="109">
        <f>ROUND((H400*(X403+AA403)*G400*K400/1000000),4)</f>
        <v>2.2000000000000001E-3</v>
      </c>
      <c r="AE403" s="73" t="s">
        <v>177</v>
      </c>
      <c r="AF403" s="74" t="s">
        <v>178</v>
      </c>
      <c r="AG403" s="75">
        <f>ROUND(((X403*F400/3600)),4)</f>
        <v>6.1999999999999998E-3</v>
      </c>
      <c r="AH403" s="75">
        <f>AB403+AC403+AD403</f>
        <v>3.3E-3</v>
      </c>
    </row>
    <row r="404" spans="1:36" ht="12.95" customHeight="1" x14ac:dyDescent="0.25">
      <c r="A404" s="572"/>
      <c r="B404" s="67"/>
      <c r="C404" s="67"/>
      <c r="D404" s="67"/>
      <c r="E404" s="67"/>
      <c r="F404" s="67"/>
      <c r="G404" s="67"/>
      <c r="H404" s="67"/>
      <c r="I404" s="67"/>
      <c r="J404" s="67"/>
      <c r="K404" s="67"/>
      <c r="L404" s="68"/>
      <c r="M404" s="68"/>
      <c r="N404" s="67"/>
      <c r="O404" s="67"/>
      <c r="P404" s="67"/>
      <c r="Q404" s="75">
        <v>2.9</v>
      </c>
      <c r="R404" s="78">
        <v>3</v>
      </c>
      <c r="S404" s="75">
        <v>8.1999999999999993</v>
      </c>
      <c r="T404" s="78">
        <v>6.1</v>
      </c>
      <c r="U404" s="78">
        <v>7.4</v>
      </c>
      <c r="V404" s="167">
        <f>ROUND((R404*N400+T404*L400+Q404*D400),4)</f>
        <v>14.961</v>
      </c>
      <c r="W404" s="168">
        <f>ROUND((S404*0.9*O400+U404*0.9*L400+Q404*D400),4)</f>
        <v>47.246600000000001</v>
      </c>
      <c r="X404" s="168">
        <f>ROUND((S404*P400+U404*L400+Q404*D400),4)</f>
        <v>166.97399999999999</v>
      </c>
      <c r="Y404" s="168">
        <f>ROUND((T404*M400+Q404*E400),4)</f>
        <v>2.9609999999999999</v>
      </c>
      <c r="Z404" s="168">
        <f>ROUND((U404*0.9*M400+Q404*E400),4)</f>
        <v>2.9666000000000001</v>
      </c>
      <c r="AA404" s="168">
        <f>ROUND((U404*M400+Q404*E400),4)</f>
        <v>2.9740000000000002</v>
      </c>
      <c r="AB404" s="168">
        <f>ROUND((H400*(V404+Y404)*G400*I400/1000000),4)</f>
        <v>3.2000000000000002E-3</v>
      </c>
      <c r="AC404" s="168">
        <f>ROUND((H400*(W404+Z404)*G400*J400/1000000),4)</f>
        <v>4.4999999999999997E-3</v>
      </c>
      <c r="AD404" s="168">
        <f>ROUND((H400*(X404+AA404)*G400*K400/1000000),4)</f>
        <v>1.61E-2</v>
      </c>
      <c r="AE404" s="73" t="s">
        <v>65</v>
      </c>
      <c r="AF404" s="74" t="s">
        <v>66</v>
      </c>
      <c r="AG404" s="75">
        <f>ROUND(((X404*F400/3600)),4)</f>
        <v>4.6399999999999997E-2</v>
      </c>
      <c r="AH404" s="75">
        <f>AB404+AC404+AD404</f>
        <v>2.3800000000000002E-2</v>
      </c>
    </row>
    <row r="405" spans="1:36" ht="12.95" customHeight="1" x14ac:dyDescent="0.25">
      <c r="A405" s="573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70"/>
      <c r="M405" s="70"/>
      <c r="N405" s="69"/>
      <c r="O405" s="69"/>
      <c r="P405" s="69"/>
      <c r="Q405" s="75">
        <v>0.04</v>
      </c>
      <c r="R405" s="78">
        <v>0.04</v>
      </c>
      <c r="S405" s="75">
        <v>0.16</v>
      </c>
      <c r="T405" s="78">
        <v>0.3</v>
      </c>
      <c r="U405" s="78">
        <v>0.4</v>
      </c>
      <c r="V405" s="167">
        <f>ROUND((R405*N400+T405*L400+Q405*D400),4)</f>
        <v>0.20300000000000001</v>
      </c>
      <c r="W405" s="168">
        <f>ROUND((S405*0.9*O400+U405*0.9*L400+Q405*D400),4)</f>
        <v>0.90759999999999996</v>
      </c>
      <c r="X405" s="168">
        <f>ROUND((S405*P400+U405*L400+Q405*D400),4)</f>
        <v>3.2440000000000002</v>
      </c>
      <c r="Y405" s="168">
        <f>ROUND((T405*M400+Q405*E400),4)</f>
        <v>4.2999999999999997E-2</v>
      </c>
      <c r="Z405" s="168">
        <f>ROUND((U405*0.9*M400+Q405*E400),4)</f>
        <v>4.36E-2</v>
      </c>
      <c r="AA405" s="168">
        <f>ROUND((U405*M400+Q405*E400),4)</f>
        <v>4.3999999999999997E-2</v>
      </c>
      <c r="AB405" s="168">
        <f>ROUND((H400*(V405+Y405)*G400*I400/1000000),5)</f>
        <v>4.0000000000000003E-5</v>
      </c>
      <c r="AC405" s="168">
        <f>ROUND((H400*(W405+Z405)*G400*J400/1000000),5)</f>
        <v>9.0000000000000006E-5</v>
      </c>
      <c r="AD405" s="168">
        <f>ROUND((H400*(X405+AA405)*G400*K400/1000000),4)</f>
        <v>2.9999999999999997E-4</v>
      </c>
      <c r="AE405" s="73" t="s">
        <v>213</v>
      </c>
      <c r="AF405" s="74" t="s">
        <v>62</v>
      </c>
      <c r="AG405" s="75">
        <f>ROUND(((X405*F400/3600)),4)</f>
        <v>8.9999999999999998E-4</v>
      </c>
      <c r="AH405" s="75">
        <f>AB405+AC405+AD405</f>
        <v>4.2999999999999999E-4</v>
      </c>
      <c r="AI405" s="61">
        <f>SUM(AG400:AG405)</f>
        <v>6.4899999999999999E-2</v>
      </c>
      <c r="AJ405" s="61">
        <f>SUM(AH400:AH405)</f>
        <v>3.3920000000000006E-2</v>
      </c>
    </row>
    <row r="406" spans="1:36" ht="12.95" customHeight="1" x14ac:dyDescent="0.25">
      <c r="A406" s="1522" t="s">
        <v>562</v>
      </c>
      <c r="B406" s="1523"/>
      <c r="C406" s="1523"/>
      <c r="D406" s="1523"/>
      <c r="E406" s="1523"/>
      <c r="F406" s="1523"/>
      <c r="G406" s="1523"/>
      <c r="H406" s="1523"/>
      <c r="I406" s="1523"/>
      <c r="J406" s="1523"/>
      <c r="K406" s="1523"/>
      <c r="L406" s="1523"/>
      <c r="M406" s="1523"/>
      <c r="N406" s="1523"/>
      <c r="O406" s="1523"/>
      <c r="P406" s="1523"/>
      <c r="Q406" s="1523"/>
      <c r="R406" s="1523"/>
      <c r="S406" s="1523"/>
      <c r="T406" s="1524"/>
      <c r="U406" s="1524"/>
      <c r="V406" s="1523"/>
      <c r="W406" s="1523"/>
      <c r="X406" s="1523"/>
      <c r="Y406" s="1523"/>
      <c r="Z406" s="1523"/>
      <c r="AA406" s="1523"/>
      <c r="AB406" s="1523"/>
      <c r="AC406" s="1523"/>
      <c r="AD406" s="1523"/>
      <c r="AE406" s="1523"/>
      <c r="AF406" s="1523"/>
      <c r="AG406" s="1523"/>
      <c r="AH406" s="1525"/>
    </row>
    <row r="407" spans="1:36" ht="12.95" customHeight="1" x14ac:dyDescent="0.25">
      <c r="A407" s="506" t="s">
        <v>535</v>
      </c>
      <c r="B407" s="71" t="s">
        <v>211</v>
      </c>
      <c r="C407" s="1128" t="s">
        <v>444</v>
      </c>
      <c r="D407" s="65">
        <v>1</v>
      </c>
      <c r="E407" s="65">
        <v>1</v>
      </c>
      <c r="F407" s="65">
        <v>1</v>
      </c>
      <c r="G407" s="65">
        <v>1</v>
      </c>
      <c r="H407" s="65">
        <f>ROUND((F407/G407),2)</f>
        <v>1</v>
      </c>
      <c r="I407" s="65">
        <v>180</v>
      </c>
      <c r="J407" s="65">
        <v>90</v>
      </c>
      <c r="K407" s="66">
        <v>95</v>
      </c>
      <c r="L407" s="66">
        <v>0.01</v>
      </c>
      <c r="M407" s="66">
        <v>0.01</v>
      </c>
      <c r="N407" s="65">
        <v>4</v>
      </c>
      <c r="O407" s="65">
        <v>6</v>
      </c>
      <c r="P407" s="65">
        <v>20</v>
      </c>
      <c r="Q407" s="65">
        <v>1</v>
      </c>
      <c r="R407" s="72">
        <v>1</v>
      </c>
      <c r="S407" s="65">
        <v>2</v>
      </c>
      <c r="T407" s="72">
        <v>4</v>
      </c>
      <c r="U407" s="72">
        <v>4</v>
      </c>
      <c r="V407" s="108">
        <f>ROUND((R407*N407+T407*L407+Q407*D407),4)</f>
        <v>5.04</v>
      </c>
      <c r="W407" s="109">
        <f>ROUND((S407*O407+U407*L407+Q407*D407),4)</f>
        <v>13.04</v>
      </c>
      <c r="X407" s="109">
        <f>ROUND((S407*P407+U407*L407+Q407*D407),4)</f>
        <v>41.04</v>
      </c>
      <c r="Y407" s="109">
        <f>ROUND((T407*M407+Q407*E407),4)</f>
        <v>1.04</v>
      </c>
      <c r="Z407" s="109">
        <f>ROUND((U407*M407+Q407*E407),4)</f>
        <v>1.04</v>
      </c>
      <c r="AA407" s="109">
        <f>ROUND((U407*M407+Q407*E407),4)</f>
        <v>1.04</v>
      </c>
      <c r="AB407" s="109">
        <f>ROUND((H407*(V407+Y407)*G407*I407/1000000),4)</f>
        <v>1.1000000000000001E-3</v>
      </c>
      <c r="AC407" s="109">
        <f>ROUND((H407*(W407+Z407)*G407*J407/1000000),4)</f>
        <v>1.2999999999999999E-3</v>
      </c>
      <c r="AD407" s="109">
        <f>ROUND((H407*(X407+AA407)*G407*K407/1000000),4)</f>
        <v>4.0000000000000001E-3</v>
      </c>
      <c r="AE407" s="73" t="s">
        <v>48</v>
      </c>
      <c r="AF407" s="74" t="s">
        <v>49</v>
      </c>
      <c r="AG407" s="75">
        <f>ROUND(((X407*F407/3600)*0.8),4)</f>
        <v>9.1000000000000004E-3</v>
      </c>
      <c r="AH407" s="75">
        <f>ROUND(((AB407+AC407+AD407)*0.8),4)</f>
        <v>5.1000000000000004E-3</v>
      </c>
    </row>
    <row r="408" spans="1:36" ht="12.95" customHeight="1" x14ac:dyDescent="0.25">
      <c r="A408" s="570" t="s">
        <v>166</v>
      </c>
      <c r="B408" s="67" t="s">
        <v>212</v>
      </c>
      <c r="C408" s="1129"/>
      <c r="D408" s="67"/>
      <c r="E408" s="67"/>
      <c r="F408" s="67"/>
      <c r="G408" s="67"/>
      <c r="H408" s="67"/>
      <c r="I408" s="67"/>
      <c r="J408" s="67"/>
      <c r="K408" s="67"/>
      <c r="L408" s="68"/>
      <c r="M408" s="68"/>
      <c r="N408" s="67"/>
      <c r="O408" s="67"/>
      <c r="P408" s="67"/>
      <c r="Q408" s="69"/>
      <c r="R408" s="69"/>
      <c r="S408" s="70"/>
      <c r="T408" s="69"/>
      <c r="U408" s="69"/>
      <c r="V408" s="110"/>
      <c r="W408" s="111"/>
      <c r="X408" s="111"/>
      <c r="Y408" s="111"/>
      <c r="Z408" s="111"/>
      <c r="AA408" s="111"/>
      <c r="AB408" s="111"/>
      <c r="AC408" s="111"/>
      <c r="AD408" s="111"/>
      <c r="AE408" s="73" t="s">
        <v>51</v>
      </c>
      <c r="AF408" s="74" t="s">
        <v>52</v>
      </c>
      <c r="AG408" s="75">
        <f>ROUND(((X407*F407/3600)*0.13),4)</f>
        <v>1.5E-3</v>
      </c>
      <c r="AH408" s="75">
        <f>ROUND(((AB407+AC407+AD407)*0.13),4)</f>
        <v>8.0000000000000004E-4</v>
      </c>
    </row>
    <row r="409" spans="1:36" ht="12.95" customHeight="1" x14ac:dyDescent="0.25">
      <c r="A409" s="571"/>
      <c r="B409" s="76" t="s">
        <v>491</v>
      </c>
      <c r="C409" s="76"/>
      <c r="D409" s="67"/>
      <c r="E409" s="67"/>
      <c r="F409" s="67"/>
      <c r="G409" s="67"/>
      <c r="H409" s="67"/>
      <c r="I409" s="67"/>
      <c r="J409" s="67"/>
      <c r="K409" s="67"/>
      <c r="L409" s="68"/>
      <c r="M409" s="68"/>
      <c r="N409" s="67"/>
      <c r="O409" s="67"/>
      <c r="P409" s="67"/>
      <c r="Q409" s="75">
        <v>0.1</v>
      </c>
      <c r="R409" s="78">
        <v>0.113</v>
      </c>
      <c r="S409" s="79">
        <v>0.13600000000000001</v>
      </c>
      <c r="T409" s="78">
        <v>0.54</v>
      </c>
      <c r="U409" s="78">
        <v>0.67</v>
      </c>
      <c r="V409" s="108">
        <f>ROUND((R409*N407+T409*L407+Q409*D407),4)</f>
        <v>0.55740000000000001</v>
      </c>
      <c r="W409" s="109">
        <f>ROUND((S409*0.9*O407+U409*0.9*L407+Q409*D407),4)</f>
        <v>0.84040000000000004</v>
      </c>
      <c r="X409" s="109">
        <f>ROUND((S409*P407+U409*L407+Q409*D407),4)</f>
        <v>2.8267000000000002</v>
      </c>
      <c r="Y409" s="109">
        <f>ROUND((T409*M407+Q409*E407),4)</f>
        <v>0.10539999999999999</v>
      </c>
      <c r="Z409" s="109">
        <f>ROUND((U409*0.9*M407+Q409*E407),4)</f>
        <v>0.106</v>
      </c>
      <c r="AA409" s="109">
        <f>ROUND((U409*M407+Q409*E407),4)</f>
        <v>0.1067</v>
      </c>
      <c r="AB409" s="109">
        <f>ROUND((H407*(V409+Y409)*G407*I407/1000000),5)</f>
        <v>1.2E-4</v>
      </c>
      <c r="AC409" s="109">
        <f>ROUND((H407*(W409+Z409)*G407*J407/1000000),5)</f>
        <v>9.0000000000000006E-5</v>
      </c>
      <c r="AD409" s="109">
        <f>ROUND((H407*(X409+AA409)*G407*K407/1000000),5)</f>
        <v>2.7999999999999998E-4</v>
      </c>
      <c r="AE409" s="73" t="s">
        <v>56</v>
      </c>
      <c r="AF409" s="74" t="s">
        <v>57</v>
      </c>
      <c r="AG409" s="75">
        <f>ROUND(((X409*F407/3600)),4)</f>
        <v>8.0000000000000004E-4</v>
      </c>
      <c r="AH409" s="75">
        <f>AB409+AC409+AD409</f>
        <v>4.8999999999999998E-4</v>
      </c>
    </row>
    <row r="410" spans="1:36" ht="12.95" customHeight="1" x14ac:dyDescent="0.25">
      <c r="A410" s="571"/>
      <c r="B410" s="132"/>
      <c r="C410" s="67"/>
      <c r="D410" s="67"/>
      <c r="E410" s="67"/>
      <c r="F410" s="67"/>
      <c r="G410" s="67"/>
      <c r="H410" s="67"/>
      <c r="I410" s="67"/>
      <c r="J410" s="67"/>
      <c r="K410" s="67"/>
      <c r="L410" s="68"/>
      <c r="M410" s="68"/>
      <c r="N410" s="67"/>
      <c r="O410" s="67"/>
      <c r="P410" s="67"/>
      <c r="Q410" s="75">
        <v>0.45</v>
      </c>
      <c r="R410" s="78">
        <v>0.4</v>
      </c>
      <c r="S410" s="75">
        <v>1.1000000000000001</v>
      </c>
      <c r="T410" s="78">
        <v>1</v>
      </c>
      <c r="U410" s="78">
        <v>1.2</v>
      </c>
      <c r="V410" s="108">
        <f>ROUND((R410*N407+T410*L407+Q410*D407),4)</f>
        <v>2.06</v>
      </c>
      <c r="W410" s="109">
        <f>ROUND((S410*0.9*O407+U410*0.9*L407+Q410*D407),4)</f>
        <v>6.4008000000000003</v>
      </c>
      <c r="X410" s="109">
        <f>ROUND((S410*P407+U410*L407+Q410*D407),4)</f>
        <v>22.462</v>
      </c>
      <c r="Y410" s="109">
        <f>ROUND((T410*M407+Q410*E407),4)</f>
        <v>0.46</v>
      </c>
      <c r="Z410" s="109">
        <f>ROUND((U410*0.9*M407+Q410*E407),4)</f>
        <v>0.46079999999999999</v>
      </c>
      <c r="AA410" s="109">
        <f>ROUND((U410*M407+Q410*E407),4)</f>
        <v>0.46200000000000002</v>
      </c>
      <c r="AB410" s="109">
        <f>ROUND((H407*(V410+Y410)*G407*I407/1000000),4)</f>
        <v>5.0000000000000001E-4</v>
      </c>
      <c r="AC410" s="109">
        <f>ROUND((H407*(W410+Z410)*G407*J407/1000000),4)</f>
        <v>5.9999999999999995E-4</v>
      </c>
      <c r="AD410" s="109">
        <f>ROUND((H407*(X410+AA410)*G407*K407/1000000),4)</f>
        <v>2.2000000000000001E-3</v>
      </c>
      <c r="AE410" s="73" t="s">
        <v>177</v>
      </c>
      <c r="AF410" s="74" t="s">
        <v>178</v>
      </c>
      <c r="AG410" s="75">
        <f>ROUND(((X410*F407/3600)),4)</f>
        <v>6.1999999999999998E-3</v>
      </c>
      <c r="AH410" s="75">
        <f>AB410+AC410+AD410</f>
        <v>3.3E-3</v>
      </c>
    </row>
    <row r="411" spans="1:36" ht="12.95" customHeight="1" x14ac:dyDescent="0.25">
      <c r="A411" s="572"/>
      <c r="B411" s="67"/>
      <c r="C411" s="67"/>
      <c r="D411" s="67"/>
      <c r="E411" s="67"/>
      <c r="F411" s="67"/>
      <c r="G411" s="67"/>
      <c r="H411" s="67"/>
      <c r="I411" s="67"/>
      <c r="J411" s="67"/>
      <c r="K411" s="67"/>
      <c r="L411" s="68"/>
      <c r="M411" s="68"/>
      <c r="N411" s="67"/>
      <c r="O411" s="67"/>
      <c r="P411" s="67"/>
      <c r="Q411" s="75">
        <v>2.9</v>
      </c>
      <c r="R411" s="78">
        <v>3</v>
      </c>
      <c r="S411" s="75">
        <v>8.1999999999999993</v>
      </c>
      <c r="T411" s="78">
        <v>6.1</v>
      </c>
      <c r="U411" s="78">
        <v>7.4</v>
      </c>
      <c r="V411" s="167">
        <f>ROUND((R411*N407+T411*L407+Q411*D407),4)</f>
        <v>14.961</v>
      </c>
      <c r="W411" s="168">
        <f>ROUND((S411*0.9*O407+U411*0.9*L407+Q411*D407),4)</f>
        <v>47.246600000000001</v>
      </c>
      <c r="X411" s="168">
        <f>ROUND((S411*P407+U411*L407+Q411*D407),4)</f>
        <v>166.97399999999999</v>
      </c>
      <c r="Y411" s="168">
        <f>ROUND((T411*M407+Q411*E407),4)</f>
        <v>2.9609999999999999</v>
      </c>
      <c r="Z411" s="168">
        <f>ROUND((U411*0.9*M407+Q411*E407),4)</f>
        <v>2.9666000000000001</v>
      </c>
      <c r="AA411" s="168">
        <f>ROUND((U411*M407+Q411*E407),4)</f>
        <v>2.9740000000000002</v>
      </c>
      <c r="AB411" s="168">
        <f>ROUND((H407*(V411+Y411)*G407*I407/1000000),4)</f>
        <v>3.2000000000000002E-3</v>
      </c>
      <c r="AC411" s="168">
        <f>ROUND((H407*(W411+Z411)*G407*J407/1000000),4)</f>
        <v>4.4999999999999997E-3</v>
      </c>
      <c r="AD411" s="168">
        <f>ROUND((H407*(X411+AA411)*G407*K407/1000000),4)</f>
        <v>1.61E-2</v>
      </c>
      <c r="AE411" s="73" t="s">
        <v>65</v>
      </c>
      <c r="AF411" s="74" t="s">
        <v>66</v>
      </c>
      <c r="AG411" s="75">
        <f>ROUND(((X411*F407/3600)),4)</f>
        <v>4.6399999999999997E-2</v>
      </c>
      <c r="AH411" s="75">
        <f>AB411+AC411+AD411</f>
        <v>2.3800000000000002E-2</v>
      </c>
    </row>
    <row r="412" spans="1:36" ht="12.95" customHeight="1" x14ac:dyDescent="0.25">
      <c r="A412" s="573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70"/>
      <c r="M412" s="70"/>
      <c r="N412" s="69"/>
      <c r="O412" s="69"/>
      <c r="P412" s="69"/>
      <c r="Q412" s="75">
        <v>0.04</v>
      </c>
      <c r="R412" s="78">
        <v>0.04</v>
      </c>
      <c r="S412" s="75">
        <v>0.16</v>
      </c>
      <c r="T412" s="78">
        <v>0.3</v>
      </c>
      <c r="U412" s="78">
        <v>0.4</v>
      </c>
      <c r="V412" s="167">
        <f>ROUND((R412*N407+T412*L407+Q412*D407),4)</f>
        <v>0.20300000000000001</v>
      </c>
      <c r="W412" s="168">
        <f>ROUND((S412*0.9*O407+U412*0.9*L407+Q412*D407),4)</f>
        <v>0.90759999999999996</v>
      </c>
      <c r="X412" s="168">
        <f>ROUND((S412*P407+U412*L407+Q412*D407),4)</f>
        <v>3.2440000000000002</v>
      </c>
      <c r="Y412" s="168">
        <f>ROUND((T412*M407+Q412*E407),4)</f>
        <v>4.2999999999999997E-2</v>
      </c>
      <c r="Z412" s="168">
        <f>ROUND((U412*0.9*M407+Q412*E407),4)</f>
        <v>4.36E-2</v>
      </c>
      <c r="AA412" s="168">
        <f>ROUND((U412*M407+Q412*E407),4)</f>
        <v>4.3999999999999997E-2</v>
      </c>
      <c r="AB412" s="168">
        <f>ROUND((H407*(V412+Y412)*G407*I407/1000000),5)</f>
        <v>4.0000000000000003E-5</v>
      </c>
      <c r="AC412" s="168">
        <f>ROUND((H407*(W412+Z412)*G407*J407/1000000),5)</f>
        <v>9.0000000000000006E-5</v>
      </c>
      <c r="AD412" s="168">
        <f>ROUND((H407*(X412+AA412)*G407*K407/1000000),4)</f>
        <v>2.9999999999999997E-4</v>
      </c>
      <c r="AE412" s="73" t="s">
        <v>213</v>
      </c>
      <c r="AF412" s="74" t="s">
        <v>62</v>
      </c>
      <c r="AG412" s="75">
        <f>ROUND(((X412*F407/3600)),4)</f>
        <v>8.9999999999999998E-4</v>
      </c>
      <c r="AH412" s="75">
        <f>AB412+AC412+AD412</f>
        <v>4.2999999999999999E-4</v>
      </c>
      <c r="AI412" s="61">
        <f>SUM(AG407:AG412)</f>
        <v>6.4899999999999999E-2</v>
      </c>
      <c r="AJ412" s="61">
        <f>SUM(AH407:AH412)</f>
        <v>3.3920000000000006E-2</v>
      </c>
    </row>
    <row r="413" spans="1:36" ht="12.95" customHeight="1" x14ac:dyDescent="0.25">
      <c r="A413" s="1522" t="s">
        <v>564</v>
      </c>
      <c r="B413" s="1523"/>
      <c r="C413" s="1523"/>
      <c r="D413" s="1523"/>
      <c r="E413" s="1523"/>
      <c r="F413" s="1523"/>
      <c r="G413" s="1523"/>
      <c r="H413" s="1523"/>
      <c r="I413" s="1523"/>
      <c r="J413" s="1523"/>
      <c r="K413" s="1523"/>
      <c r="L413" s="1523"/>
      <c r="M413" s="1523"/>
      <c r="N413" s="1523"/>
      <c r="O413" s="1523"/>
      <c r="P413" s="1523"/>
      <c r="Q413" s="1523"/>
      <c r="R413" s="1523"/>
      <c r="S413" s="1523"/>
      <c r="T413" s="1524"/>
      <c r="U413" s="1524"/>
      <c r="V413" s="1523"/>
      <c r="W413" s="1523"/>
      <c r="X413" s="1523"/>
      <c r="Y413" s="1523"/>
      <c r="Z413" s="1523"/>
      <c r="AA413" s="1523"/>
      <c r="AB413" s="1523"/>
      <c r="AC413" s="1523"/>
      <c r="AD413" s="1523"/>
      <c r="AE413" s="1523"/>
      <c r="AF413" s="1523"/>
      <c r="AG413" s="1523"/>
      <c r="AH413" s="1525"/>
    </row>
    <row r="414" spans="1:36" ht="12.95" customHeight="1" x14ac:dyDescent="0.25">
      <c r="A414" s="506" t="s">
        <v>536</v>
      </c>
      <c r="B414" s="71" t="s">
        <v>211</v>
      </c>
      <c r="C414" s="1128" t="s">
        <v>444</v>
      </c>
      <c r="D414" s="65">
        <v>1</v>
      </c>
      <c r="E414" s="65">
        <v>1</v>
      </c>
      <c r="F414" s="65">
        <v>1</v>
      </c>
      <c r="G414" s="65">
        <v>1</v>
      </c>
      <c r="H414" s="65">
        <f>ROUND((F414/G414),2)</f>
        <v>1</v>
      </c>
      <c r="I414" s="65">
        <v>173</v>
      </c>
      <c r="J414" s="65">
        <v>0</v>
      </c>
      <c r="K414" s="66">
        <v>0</v>
      </c>
      <c r="L414" s="66">
        <v>0.01</v>
      </c>
      <c r="M414" s="66">
        <v>0.01</v>
      </c>
      <c r="N414" s="65">
        <v>4</v>
      </c>
      <c r="O414" s="65">
        <v>6</v>
      </c>
      <c r="P414" s="65">
        <v>20</v>
      </c>
      <c r="Q414" s="65">
        <v>1</v>
      </c>
      <c r="R414" s="72">
        <v>1</v>
      </c>
      <c r="S414" s="65">
        <v>2</v>
      </c>
      <c r="T414" s="72">
        <v>4</v>
      </c>
      <c r="U414" s="72">
        <v>4</v>
      </c>
      <c r="V414" s="108">
        <f>ROUND((R414*N414+T414*L414+Q414*D414),4)</f>
        <v>5.04</v>
      </c>
      <c r="W414" s="109">
        <f>ROUND((S414*O414+U414*L414+Q414*D414),4)</f>
        <v>13.04</v>
      </c>
      <c r="X414" s="109">
        <f>ROUND((S414*P414+U414*L414+Q414*D414),4)</f>
        <v>41.04</v>
      </c>
      <c r="Y414" s="109">
        <f>ROUND((T414*M414+Q414*E414),4)</f>
        <v>1.04</v>
      </c>
      <c r="Z414" s="109">
        <f>ROUND((U414*M414+Q414*E414),4)</f>
        <v>1.04</v>
      </c>
      <c r="AA414" s="109">
        <f>ROUND((U414*M414+Q414*E414),4)</f>
        <v>1.04</v>
      </c>
      <c r="AB414" s="109">
        <f>ROUND((H414*(V414+Y414)*G414*I414/1000000),4)</f>
        <v>1.1000000000000001E-3</v>
      </c>
      <c r="AC414" s="109">
        <f>ROUND((H414*(W414+Z414)*G414*J414/1000000),4)</f>
        <v>0</v>
      </c>
      <c r="AD414" s="109">
        <f>ROUND((H414*(X414+AA414)*G414*K414/1000000),4)</f>
        <v>0</v>
      </c>
      <c r="AE414" s="73" t="s">
        <v>48</v>
      </c>
      <c r="AF414" s="74" t="s">
        <v>49</v>
      </c>
      <c r="AG414" s="75">
        <f>ROUND(((X414*F414/3600)*0.8),4)</f>
        <v>9.1000000000000004E-3</v>
      </c>
      <c r="AH414" s="75">
        <f>ROUND(((AB414+AC414+AD414)*0.8),4)</f>
        <v>8.9999999999999998E-4</v>
      </c>
    </row>
    <row r="415" spans="1:36" ht="12.95" customHeight="1" x14ac:dyDescent="0.25">
      <c r="A415" s="570" t="s">
        <v>166</v>
      </c>
      <c r="B415" s="67" t="s">
        <v>212</v>
      </c>
      <c r="C415" s="1129"/>
      <c r="D415" s="67"/>
      <c r="E415" s="67"/>
      <c r="F415" s="67"/>
      <c r="G415" s="67"/>
      <c r="H415" s="67"/>
      <c r="I415" s="67"/>
      <c r="J415" s="67"/>
      <c r="K415" s="67"/>
      <c r="L415" s="68"/>
      <c r="M415" s="68"/>
      <c r="N415" s="67"/>
      <c r="O415" s="67"/>
      <c r="P415" s="67"/>
      <c r="Q415" s="69"/>
      <c r="R415" s="69"/>
      <c r="S415" s="70"/>
      <c r="T415" s="69"/>
      <c r="U415" s="69"/>
      <c r="V415" s="110"/>
      <c r="W415" s="111"/>
      <c r="X415" s="111"/>
      <c r="Y415" s="111"/>
      <c r="Z415" s="111"/>
      <c r="AA415" s="111"/>
      <c r="AB415" s="111"/>
      <c r="AC415" s="111"/>
      <c r="AD415" s="111"/>
      <c r="AE415" s="73" t="s">
        <v>51</v>
      </c>
      <c r="AF415" s="74" t="s">
        <v>52</v>
      </c>
      <c r="AG415" s="75">
        <f>ROUND(((X414*F414/3600)*0.13),4)</f>
        <v>1.5E-3</v>
      </c>
      <c r="AH415" s="75">
        <f>ROUND(((AB414+AC414+AD414)*0.13),4)</f>
        <v>1E-4</v>
      </c>
    </row>
    <row r="416" spans="1:36" ht="12.95" customHeight="1" x14ac:dyDescent="0.25">
      <c r="A416" s="571"/>
      <c r="B416" s="76" t="s">
        <v>491</v>
      </c>
      <c r="C416" s="76"/>
      <c r="D416" s="67"/>
      <c r="E416" s="67"/>
      <c r="F416" s="67"/>
      <c r="G416" s="67"/>
      <c r="H416" s="67"/>
      <c r="I416" s="67"/>
      <c r="J416" s="67"/>
      <c r="K416" s="67"/>
      <c r="L416" s="68"/>
      <c r="M416" s="68"/>
      <c r="N416" s="67"/>
      <c r="O416" s="67"/>
      <c r="P416" s="67"/>
      <c r="Q416" s="75">
        <v>0.1</v>
      </c>
      <c r="R416" s="78">
        <v>0.113</v>
      </c>
      <c r="S416" s="79">
        <v>0.13600000000000001</v>
      </c>
      <c r="T416" s="78">
        <v>0.54</v>
      </c>
      <c r="U416" s="78">
        <v>0.67</v>
      </c>
      <c r="V416" s="108">
        <f>ROUND((R416*N414+T416*L414+Q416*D414),4)</f>
        <v>0.55740000000000001</v>
      </c>
      <c r="W416" s="109">
        <f>ROUND((S416*0.9*O414+U416*0.9*L414+Q416*D414),4)</f>
        <v>0.84040000000000004</v>
      </c>
      <c r="X416" s="109">
        <f>ROUND((S416*P414+U416*L414+Q416*D414),4)</f>
        <v>2.8267000000000002</v>
      </c>
      <c r="Y416" s="109">
        <f>ROUND((T416*M414+Q416*E414),4)</f>
        <v>0.10539999999999999</v>
      </c>
      <c r="Z416" s="109">
        <f>ROUND((U416*0.9*M414+Q416*E414),4)</f>
        <v>0.106</v>
      </c>
      <c r="AA416" s="109">
        <f>ROUND((U416*M414+Q416*E414),4)</f>
        <v>0.1067</v>
      </c>
      <c r="AB416" s="109">
        <f>ROUND((H414*(V416+Y416)*G414*I414/1000000),5)</f>
        <v>1.1E-4</v>
      </c>
      <c r="AC416" s="109">
        <f>ROUND((H414*(W416+Z416)*G414*J414/1000000),5)</f>
        <v>0</v>
      </c>
      <c r="AD416" s="109">
        <f>ROUND((H414*(X416+AA416)*G414*K414/1000000),5)</f>
        <v>0</v>
      </c>
      <c r="AE416" s="73" t="s">
        <v>56</v>
      </c>
      <c r="AF416" s="74" t="s">
        <v>57</v>
      </c>
      <c r="AG416" s="75">
        <f>ROUND(((X416*F414/3600)),4)</f>
        <v>8.0000000000000004E-4</v>
      </c>
      <c r="AH416" s="75">
        <f>AB416+AC416+AD416</f>
        <v>1.1E-4</v>
      </c>
    </row>
    <row r="417" spans="1:36" ht="12.95" customHeight="1" x14ac:dyDescent="0.25">
      <c r="A417" s="571"/>
      <c r="B417" s="132"/>
      <c r="C417" s="67"/>
      <c r="D417" s="67"/>
      <c r="E417" s="67"/>
      <c r="F417" s="67"/>
      <c r="G417" s="67"/>
      <c r="H417" s="67"/>
      <c r="I417" s="67"/>
      <c r="J417" s="67"/>
      <c r="K417" s="67"/>
      <c r="L417" s="68"/>
      <c r="M417" s="68"/>
      <c r="N417" s="67"/>
      <c r="O417" s="67"/>
      <c r="P417" s="67"/>
      <c r="Q417" s="75">
        <v>0.45</v>
      </c>
      <c r="R417" s="78">
        <v>0.4</v>
      </c>
      <c r="S417" s="75">
        <v>1.1000000000000001</v>
      </c>
      <c r="T417" s="78">
        <v>1</v>
      </c>
      <c r="U417" s="78">
        <v>1.2</v>
      </c>
      <c r="V417" s="108">
        <f>ROUND((R417*N414+T417*L414+Q417*D414),4)</f>
        <v>2.06</v>
      </c>
      <c r="W417" s="109">
        <f>ROUND((S417*0.9*O414+U417*0.9*L414+Q417*D414),4)</f>
        <v>6.4008000000000003</v>
      </c>
      <c r="X417" s="109">
        <f>ROUND((S417*P414+U417*L414+Q417*D414),4)</f>
        <v>22.462</v>
      </c>
      <c r="Y417" s="109">
        <f>ROUND((T417*M414+Q417*E414),4)</f>
        <v>0.46</v>
      </c>
      <c r="Z417" s="109">
        <f>ROUND((U417*0.9*M414+Q417*E414),4)</f>
        <v>0.46079999999999999</v>
      </c>
      <c r="AA417" s="109">
        <f>ROUND((U417*M414+Q417*E414),4)</f>
        <v>0.46200000000000002</v>
      </c>
      <c r="AB417" s="109">
        <f>ROUND((H414*(V417+Y417)*G414*I414/1000000),4)</f>
        <v>4.0000000000000002E-4</v>
      </c>
      <c r="AC417" s="109">
        <f>ROUND((H414*(W417+Z417)*G414*J414/1000000),4)</f>
        <v>0</v>
      </c>
      <c r="AD417" s="109">
        <f>ROUND((H414*(X417+AA417)*G414*K414/1000000),4)</f>
        <v>0</v>
      </c>
      <c r="AE417" s="73" t="s">
        <v>177</v>
      </c>
      <c r="AF417" s="74" t="s">
        <v>178</v>
      </c>
      <c r="AG417" s="75">
        <f>ROUND(((X417*F414/3600)),4)</f>
        <v>6.1999999999999998E-3</v>
      </c>
      <c r="AH417" s="75">
        <f>AB417+AC417+AD417</f>
        <v>4.0000000000000002E-4</v>
      </c>
    </row>
    <row r="418" spans="1:36" ht="12.95" customHeight="1" x14ac:dyDescent="0.25">
      <c r="A418" s="572"/>
      <c r="B418" s="67"/>
      <c r="C418" s="67"/>
      <c r="D418" s="67"/>
      <c r="E418" s="67"/>
      <c r="F418" s="67"/>
      <c r="G418" s="67"/>
      <c r="H418" s="67"/>
      <c r="I418" s="67"/>
      <c r="J418" s="67"/>
      <c r="K418" s="67"/>
      <c r="L418" s="68"/>
      <c r="M418" s="68"/>
      <c r="N418" s="67"/>
      <c r="O418" s="67"/>
      <c r="P418" s="67"/>
      <c r="Q418" s="75">
        <v>2.9</v>
      </c>
      <c r="R418" s="78">
        <v>3</v>
      </c>
      <c r="S418" s="75">
        <v>8.1999999999999993</v>
      </c>
      <c r="T418" s="78">
        <v>6.1</v>
      </c>
      <c r="U418" s="78">
        <v>7.4</v>
      </c>
      <c r="V418" s="167">
        <f>ROUND((R418*N414+T418*L414+Q418*D414),4)</f>
        <v>14.961</v>
      </c>
      <c r="W418" s="168">
        <f>ROUND((S418*0.9*O414+U418*0.9*L414+Q418*D414),4)</f>
        <v>47.246600000000001</v>
      </c>
      <c r="X418" s="168">
        <f>ROUND((S418*P414+U418*L414+Q418*D414),4)</f>
        <v>166.97399999999999</v>
      </c>
      <c r="Y418" s="168">
        <f>ROUND((T418*M414+Q418*E414),4)</f>
        <v>2.9609999999999999</v>
      </c>
      <c r="Z418" s="168">
        <f>ROUND((U418*0.9*M414+Q418*E414),4)</f>
        <v>2.9666000000000001</v>
      </c>
      <c r="AA418" s="168">
        <f>ROUND((U418*M414+Q418*E414),4)</f>
        <v>2.9740000000000002</v>
      </c>
      <c r="AB418" s="168">
        <f>ROUND((H414*(V418+Y418)*G414*I414/1000000),4)</f>
        <v>3.0999999999999999E-3</v>
      </c>
      <c r="AC418" s="168">
        <f>ROUND((H414*(W418+Z418)*G414*J414/1000000),4)</f>
        <v>0</v>
      </c>
      <c r="AD418" s="168">
        <f>ROUND((H414*(X418+AA418)*G414*K414/1000000),4)</f>
        <v>0</v>
      </c>
      <c r="AE418" s="73" t="s">
        <v>65</v>
      </c>
      <c r="AF418" s="74" t="s">
        <v>66</v>
      </c>
      <c r="AG418" s="75">
        <f>ROUND(((X418*F414/3600)),4)</f>
        <v>4.6399999999999997E-2</v>
      </c>
      <c r="AH418" s="75">
        <f>AB418+AC418+AD418</f>
        <v>3.0999999999999999E-3</v>
      </c>
    </row>
    <row r="419" spans="1:36" ht="12.95" customHeight="1" x14ac:dyDescent="0.25">
      <c r="A419" s="573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70"/>
      <c r="M419" s="70"/>
      <c r="N419" s="69"/>
      <c r="O419" s="69"/>
      <c r="P419" s="69"/>
      <c r="Q419" s="75">
        <v>0.04</v>
      </c>
      <c r="R419" s="78">
        <v>0.04</v>
      </c>
      <c r="S419" s="75">
        <v>0.16</v>
      </c>
      <c r="T419" s="78">
        <v>0.3</v>
      </c>
      <c r="U419" s="78">
        <v>0.4</v>
      </c>
      <c r="V419" s="167">
        <f>ROUND((R419*N414+T419*L414+Q419*D414),4)</f>
        <v>0.20300000000000001</v>
      </c>
      <c r="W419" s="168">
        <f>ROUND((S419*0.9*O414+U419*0.9*L414+Q419*D414),4)</f>
        <v>0.90759999999999996</v>
      </c>
      <c r="X419" s="168">
        <f>ROUND((S419*P414+U419*L414+Q419*D414),4)</f>
        <v>3.2440000000000002</v>
      </c>
      <c r="Y419" s="168">
        <f>ROUND((T419*M414+Q419*E414),4)</f>
        <v>4.2999999999999997E-2</v>
      </c>
      <c r="Z419" s="168">
        <f>ROUND((U419*0.9*M414+Q419*E414),4)</f>
        <v>4.36E-2</v>
      </c>
      <c r="AA419" s="168">
        <f>ROUND((U419*M414+Q419*E414),4)</f>
        <v>4.3999999999999997E-2</v>
      </c>
      <c r="AB419" s="168">
        <f>ROUND((H414*(V419+Y419)*G414*I414/1000000),5)</f>
        <v>4.0000000000000003E-5</v>
      </c>
      <c r="AC419" s="168">
        <f>ROUND((H414*(W419+Z419)*G414*J414/1000000),5)</f>
        <v>0</v>
      </c>
      <c r="AD419" s="168">
        <f>ROUND((H414*(X419+AA419)*G414*K414/1000000),4)</f>
        <v>0</v>
      </c>
      <c r="AE419" s="73" t="s">
        <v>213</v>
      </c>
      <c r="AF419" s="74" t="s">
        <v>62</v>
      </c>
      <c r="AG419" s="75">
        <f>ROUND(((X419*F414/3600)),4)</f>
        <v>8.9999999999999998E-4</v>
      </c>
      <c r="AH419" s="75">
        <f>AB419+AC419+AD419</f>
        <v>4.0000000000000003E-5</v>
      </c>
      <c r="AI419" s="61">
        <f>SUM(AG414:AG419)</f>
        <v>6.4899999999999999E-2</v>
      </c>
      <c r="AJ419" s="61">
        <f>SUM(AH414:AH419)</f>
        <v>4.6499999999999996E-3</v>
      </c>
    </row>
    <row r="420" spans="1:36" ht="12.95" customHeight="1" x14ac:dyDescent="0.25">
      <c r="A420" s="1522" t="s">
        <v>565</v>
      </c>
      <c r="B420" s="1523"/>
      <c r="C420" s="1523"/>
      <c r="D420" s="1523"/>
      <c r="E420" s="1523"/>
      <c r="F420" s="1523"/>
      <c r="G420" s="1523"/>
      <c r="H420" s="1523"/>
      <c r="I420" s="1523"/>
      <c r="J420" s="1523"/>
      <c r="K420" s="1523"/>
      <c r="L420" s="1523"/>
      <c r="M420" s="1523"/>
      <c r="N420" s="1523"/>
      <c r="O420" s="1523"/>
      <c r="P420" s="1523"/>
      <c r="Q420" s="1523"/>
      <c r="R420" s="1523"/>
      <c r="S420" s="1523"/>
      <c r="T420" s="1524"/>
      <c r="U420" s="1524"/>
      <c r="V420" s="1523"/>
      <c r="W420" s="1523"/>
      <c r="X420" s="1523"/>
      <c r="Y420" s="1523"/>
      <c r="Z420" s="1523"/>
      <c r="AA420" s="1523"/>
      <c r="AB420" s="1523"/>
      <c r="AC420" s="1523"/>
      <c r="AD420" s="1523"/>
      <c r="AE420" s="1523"/>
      <c r="AF420" s="1523"/>
      <c r="AG420" s="1523"/>
      <c r="AH420" s="1525"/>
    </row>
    <row r="421" spans="1:36" ht="12.95" customHeight="1" x14ac:dyDescent="0.25">
      <c r="A421" s="506" t="s">
        <v>537</v>
      </c>
      <c r="B421" s="71" t="s">
        <v>211</v>
      </c>
      <c r="C421" s="1128" t="s">
        <v>444</v>
      </c>
      <c r="D421" s="65">
        <v>1</v>
      </c>
      <c r="E421" s="65">
        <v>1</v>
      </c>
      <c r="F421" s="65">
        <v>1</v>
      </c>
      <c r="G421" s="65">
        <v>1</v>
      </c>
      <c r="H421" s="65">
        <f>ROUND((F421/G421),2)</f>
        <v>1</v>
      </c>
      <c r="I421" s="65">
        <v>173</v>
      </c>
      <c r="J421" s="65">
        <v>0</v>
      </c>
      <c r="K421" s="66">
        <v>0</v>
      </c>
      <c r="L421" s="66">
        <v>0.01</v>
      </c>
      <c r="M421" s="66">
        <v>0.01</v>
      </c>
      <c r="N421" s="65">
        <v>4</v>
      </c>
      <c r="O421" s="65">
        <v>6</v>
      </c>
      <c r="P421" s="65">
        <v>20</v>
      </c>
      <c r="Q421" s="65">
        <v>1</v>
      </c>
      <c r="R421" s="72">
        <v>1</v>
      </c>
      <c r="S421" s="65">
        <v>2</v>
      </c>
      <c r="T421" s="72">
        <v>4</v>
      </c>
      <c r="U421" s="72">
        <v>4</v>
      </c>
      <c r="V421" s="108">
        <f>ROUND((R421*N421+T421*L421+Q421*D421),4)</f>
        <v>5.04</v>
      </c>
      <c r="W421" s="109">
        <f>ROUND((S421*O421+U421*L421+Q421*D421),4)</f>
        <v>13.04</v>
      </c>
      <c r="X421" s="109">
        <f>ROUND((S421*P421+U421*L421+Q421*D421),4)</f>
        <v>41.04</v>
      </c>
      <c r="Y421" s="109">
        <f>ROUND((T421*M421+Q421*E421),4)</f>
        <v>1.04</v>
      </c>
      <c r="Z421" s="109">
        <f>ROUND((U421*M421+Q421*E421),4)</f>
        <v>1.04</v>
      </c>
      <c r="AA421" s="109">
        <f>ROUND((U421*M421+Q421*E421),4)</f>
        <v>1.04</v>
      </c>
      <c r="AB421" s="109">
        <f>ROUND((H421*(V421+Y421)*G421*I421/1000000),4)</f>
        <v>1.1000000000000001E-3</v>
      </c>
      <c r="AC421" s="109">
        <f>ROUND((H421*(W421+Z421)*G421*J421/1000000),4)</f>
        <v>0</v>
      </c>
      <c r="AD421" s="109">
        <f>ROUND((H421*(X421+AA421)*G421*K421/1000000),4)</f>
        <v>0</v>
      </c>
      <c r="AE421" s="73" t="s">
        <v>48</v>
      </c>
      <c r="AF421" s="74" t="s">
        <v>49</v>
      </c>
      <c r="AG421" s="75">
        <f>ROUND(((X421*F421/3600)*0.8),4)</f>
        <v>9.1000000000000004E-3</v>
      </c>
      <c r="AH421" s="75">
        <f>ROUND(((AB421+AC421+AD421)*0.8),4)</f>
        <v>8.9999999999999998E-4</v>
      </c>
    </row>
    <row r="422" spans="1:36" ht="12.95" customHeight="1" x14ac:dyDescent="0.25">
      <c r="A422" s="570" t="s">
        <v>166</v>
      </c>
      <c r="B422" s="67" t="s">
        <v>212</v>
      </c>
      <c r="C422" s="1129"/>
      <c r="D422" s="67"/>
      <c r="E422" s="67"/>
      <c r="F422" s="67"/>
      <c r="G422" s="67"/>
      <c r="H422" s="67"/>
      <c r="I422" s="67"/>
      <c r="J422" s="67"/>
      <c r="K422" s="67"/>
      <c r="L422" s="68"/>
      <c r="M422" s="68"/>
      <c r="N422" s="67"/>
      <c r="O422" s="67"/>
      <c r="P422" s="67"/>
      <c r="Q422" s="69"/>
      <c r="R422" s="69"/>
      <c r="S422" s="70"/>
      <c r="T422" s="69"/>
      <c r="U422" s="69"/>
      <c r="V422" s="110"/>
      <c r="W422" s="111"/>
      <c r="X422" s="111"/>
      <c r="Y422" s="111"/>
      <c r="Z422" s="111"/>
      <c r="AA422" s="111"/>
      <c r="AB422" s="111"/>
      <c r="AC422" s="111"/>
      <c r="AD422" s="111"/>
      <c r="AE422" s="73" t="s">
        <v>51</v>
      </c>
      <c r="AF422" s="74" t="s">
        <v>52</v>
      </c>
      <c r="AG422" s="75">
        <f>ROUND(((X421*F421/3600)*0.13),4)</f>
        <v>1.5E-3</v>
      </c>
      <c r="AH422" s="75">
        <f>ROUND(((AB421+AC421+AD421)*0.13),4)</f>
        <v>1E-4</v>
      </c>
    </row>
    <row r="423" spans="1:36" ht="12.95" customHeight="1" x14ac:dyDescent="0.25">
      <c r="A423" s="571"/>
      <c r="B423" s="76" t="s">
        <v>491</v>
      </c>
      <c r="C423" s="76"/>
      <c r="D423" s="67"/>
      <c r="E423" s="67"/>
      <c r="F423" s="67"/>
      <c r="G423" s="67"/>
      <c r="H423" s="67"/>
      <c r="I423" s="67"/>
      <c r="J423" s="67"/>
      <c r="K423" s="67"/>
      <c r="L423" s="68"/>
      <c r="M423" s="68"/>
      <c r="N423" s="67"/>
      <c r="O423" s="67"/>
      <c r="P423" s="67"/>
      <c r="Q423" s="75">
        <v>0.1</v>
      </c>
      <c r="R423" s="78">
        <v>0.113</v>
      </c>
      <c r="S423" s="79">
        <v>0.13600000000000001</v>
      </c>
      <c r="T423" s="78">
        <v>0.54</v>
      </c>
      <c r="U423" s="78">
        <v>0.67</v>
      </c>
      <c r="V423" s="108">
        <f>ROUND((R423*N421+T423*L421+Q423*D421),4)</f>
        <v>0.55740000000000001</v>
      </c>
      <c r="W423" s="109">
        <f>ROUND((S423*0.9*O421+U423*0.9*L421+Q423*D421),4)</f>
        <v>0.84040000000000004</v>
      </c>
      <c r="X423" s="109">
        <f>ROUND((S423*P421+U423*L421+Q423*D421),4)</f>
        <v>2.8267000000000002</v>
      </c>
      <c r="Y423" s="109">
        <f>ROUND((T423*M421+Q423*E421),4)</f>
        <v>0.10539999999999999</v>
      </c>
      <c r="Z423" s="109">
        <f>ROUND((U423*0.9*M421+Q423*E421),4)</f>
        <v>0.106</v>
      </c>
      <c r="AA423" s="109">
        <f>ROUND((U423*M421+Q423*E421),4)</f>
        <v>0.1067</v>
      </c>
      <c r="AB423" s="109">
        <f>ROUND((H421*(V423+Y423)*G421*I421/1000000),5)</f>
        <v>1.1E-4</v>
      </c>
      <c r="AC423" s="109">
        <f>ROUND((H421*(W423+Z423)*G421*J421/1000000),5)</f>
        <v>0</v>
      </c>
      <c r="AD423" s="109">
        <f>ROUND((H421*(X423+AA423)*G421*K421/1000000),5)</f>
        <v>0</v>
      </c>
      <c r="AE423" s="73" t="s">
        <v>56</v>
      </c>
      <c r="AF423" s="74" t="s">
        <v>57</v>
      </c>
      <c r="AG423" s="75">
        <f>ROUND(((X423*F421/3600)),4)</f>
        <v>8.0000000000000004E-4</v>
      </c>
      <c r="AH423" s="75">
        <f>AB423+AC423+AD423</f>
        <v>1.1E-4</v>
      </c>
    </row>
    <row r="424" spans="1:36" ht="12.95" customHeight="1" x14ac:dyDescent="0.25">
      <c r="A424" s="571"/>
      <c r="B424" s="132"/>
      <c r="C424" s="67"/>
      <c r="D424" s="67"/>
      <c r="E424" s="67"/>
      <c r="F424" s="67"/>
      <c r="G424" s="67"/>
      <c r="H424" s="67"/>
      <c r="I424" s="67"/>
      <c r="J424" s="67"/>
      <c r="K424" s="67"/>
      <c r="L424" s="68"/>
      <c r="M424" s="68"/>
      <c r="N424" s="67"/>
      <c r="O424" s="67"/>
      <c r="P424" s="67"/>
      <c r="Q424" s="75">
        <v>0.45</v>
      </c>
      <c r="R424" s="78">
        <v>0.4</v>
      </c>
      <c r="S424" s="75">
        <v>1.1000000000000001</v>
      </c>
      <c r="T424" s="78">
        <v>1</v>
      </c>
      <c r="U424" s="78">
        <v>1.2</v>
      </c>
      <c r="V424" s="108">
        <f>ROUND((R424*N421+T424*L421+Q424*D421),4)</f>
        <v>2.06</v>
      </c>
      <c r="W424" s="109">
        <f>ROUND((S424*0.9*O421+U424*0.9*L421+Q424*D421),4)</f>
        <v>6.4008000000000003</v>
      </c>
      <c r="X424" s="109">
        <f>ROUND((S424*P421+U424*L421+Q424*D421),4)</f>
        <v>22.462</v>
      </c>
      <c r="Y424" s="109">
        <f>ROUND((T424*M421+Q424*E421),4)</f>
        <v>0.46</v>
      </c>
      <c r="Z424" s="109">
        <f>ROUND((U424*0.9*M421+Q424*E421),4)</f>
        <v>0.46079999999999999</v>
      </c>
      <c r="AA424" s="109">
        <f>ROUND((U424*M421+Q424*E421),4)</f>
        <v>0.46200000000000002</v>
      </c>
      <c r="AB424" s="109">
        <f>ROUND((H421*(V424+Y424)*G421*I421/1000000),4)</f>
        <v>4.0000000000000002E-4</v>
      </c>
      <c r="AC424" s="109">
        <f>ROUND((H421*(W424+Z424)*G421*J421/1000000),4)</f>
        <v>0</v>
      </c>
      <c r="AD424" s="109">
        <f>ROUND((H421*(X424+AA424)*G421*K421/1000000),4)</f>
        <v>0</v>
      </c>
      <c r="AE424" s="73" t="s">
        <v>177</v>
      </c>
      <c r="AF424" s="74" t="s">
        <v>178</v>
      </c>
      <c r="AG424" s="75">
        <f>ROUND(((X424*F421/3600)),4)</f>
        <v>6.1999999999999998E-3</v>
      </c>
      <c r="AH424" s="75">
        <f>AB424+AC424+AD424</f>
        <v>4.0000000000000002E-4</v>
      </c>
    </row>
    <row r="425" spans="1:36" ht="12.95" customHeight="1" x14ac:dyDescent="0.25">
      <c r="A425" s="572"/>
      <c r="B425" s="67"/>
      <c r="C425" s="67"/>
      <c r="D425" s="67"/>
      <c r="E425" s="67"/>
      <c r="F425" s="67"/>
      <c r="G425" s="67"/>
      <c r="H425" s="67"/>
      <c r="I425" s="67"/>
      <c r="J425" s="67"/>
      <c r="K425" s="67"/>
      <c r="L425" s="68"/>
      <c r="M425" s="68"/>
      <c r="N425" s="67"/>
      <c r="O425" s="67"/>
      <c r="P425" s="67"/>
      <c r="Q425" s="75">
        <v>2.9</v>
      </c>
      <c r="R425" s="78">
        <v>3</v>
      </c>
      <c r="S425" s="75">
        <v>8.1999999999999993</v>
      </c>
      <c r="T425" s="78">
        <v>6.1</v>
      </c>
      <c r="U425" s="78">
        <v>7.4</v>
      </c>
      <c r="V425" s="167">
        <f>ROUND((R425*N421+T425*L421+Q425*D421),4)</f>
        <v>14.961</v>
      </c>
      <c r="W425" s="168">
        <f>ROUND((S425*0.9*O421+U425*0.9*L421+Q425*D421),4)</f>
        <v>47.246600000000001</v>
      </c>
      <c r="X425" s="168">
        <f>ROUND((S425*P421+U425*L421+Q425*D421),4)</f>
        <v>166.97399999999999</v>
      </c>
      <c r="Y425" s="168">
        <f>ROUND((T425*M421+Q425*E421),4)</f>
        <v>2.9609999999999999</v>
      </c>
      <c r="Z425" s="168">
        <f>ROUND((U425*0.9*M421+Q425*E421),4)</f>
        <v>2.9666000000000001</v>
      </c>
      <c r="AA425" s="168">
        <f>ROUND((U425*M421+Q425*E421),4)</f>
        <v>2.9740000000000002</v>
      </c>
      <c r="AB425" s="168">
        <f>ROUND((H421*(V425+Y425)*G421*I421/1000000),4)</f>
        <v>3.0999999999999999E-3</v>
      </c>
      <c r="AC425" s="168">
        <f>ROUND((H421*(W425+Z425)*G421*J421/1000000),4)</f>
        <v>0</v>
      </c>
      <c r="AD425" s="168">
        <f>ROUND((H421*(X425+AA425)*G421*K421/1000000),4)</f>
        <v>0</v>
      </c>
      <c r="AE425" s="73" t="s">
        <v>65</v>
      </c>
      <c r="AF425" s="74" t="s">
        <v>66</v>
      </c>
      <c r="AG425" s="75">
        <f>ROUND(((X425*F421/3600)),4)</f>
        <v>4.6399999999999997E-2</v>
      </c>
      <c r="AH425" s="75">
        <f>AB425+AC425+AD425</f>
        <v>3.0999999999999999E-3</v>
      </c>
    </row>
    <row r="426" spans="1:36" ht="12.95" customHeight="1" x14ac:dyDescent="0.25">
      <c r="A426" s="573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70"/>
      <c r="M426" s="70"/>
      <c r="N426" s="69"/>
      <c r="O426" s="69"/>
      <c r="P426" s="69"/>
      <c r="Q426" s="75">
        <v>0.04</v>
      </c>
      <c r="R426" s="78">
        <v>0.04</v>
      </c>
      <c r="S426" s="75">
        <v>0.16</v>
      </c>
      <c r="T426" s="78">
        <v>0.3</v>
      </c>
      <c r="U426" s="78">
        <v>0.4</v>
      </c>
      <c r="V426" s="167">
        <f>ROUND((R426*N421+T426*L421+Q426*D421),4)</f>
        <v>0.20300000000000001</v>
      </c>
      <c r="W426" s="168">
        <f>ROUND((S426*0.9*O421+U426*0.9*L421+Q426*D421),4)</f>
        <v>0.90759999999999996</v>
      </c>
      <c r="X426" s="168">
        <f>ROUND((S426*P421+U426*L421+Q426*D421),4)</f>
        <v>3.2440000000000002</v>
      </c>
      <c r="Y426" s="168">
        <f>ROUND((T426*M421+Q426*E421),4)</f>
        <v>4.2999999999999997E-2</v>
      </c>
      <c r="Z426" s="168">
        <f>ROUND((U426*0.9*M421+Q426*E421),4)</f>
        <v>4.36E-2</v>
      </c>
      <c r="AA426" s="168">
        <f>ROUND((U426*M421+Q426*E421),4)</f>
        <v>4.3999999999999997E-2</v>
      </c>
      <c r="AB426" s="168">
        <f>ROUND((H421*(V426+Y426)*G421*I421/1000000),5)</f>
        <v>4.0000000000000003E-5</v>
      </c>
      <c r="AC426" s="168">
        <f>ROUND((H421*(W426+Z426)*G421*J421/1000000),5)</f>
        <v>0</v>
      </c>
      <c r="AD426" s="168">
        <f>ROUND((H421*(X426+AA426)*G421*K421/1000000),4)</f>
        <v>0</v>
      </c>
      <c r="AE426" s="73" t="s">
        <v>213</v>
      </c>
      <c r="AF426" s="74" t="s">
        <v>62</v>
      </c>
      <c r="AG426" s="75">
        <f>ROUND(((X426*F421/3600)),4)</f>
        <v>8.9999999999999998E-4</v>
      </c>
      <c r="AH426" s="75">
        <f>AB426+AC426+AD426</f>
        <v>4.0000000000000003E-5</v>
      </c>
      <c r="AI426" s="61">
        <f>SUM(AG421:AG426)</f>
        <v>6.4899999999999999E-2</v>
      </c>
      <c r="AJ426" s="61">
        <f>SUM(AH421:AH426)</f>
        <v>4.6499999999999996E-3</v>
      </c>
    </row>
    <row r="427" spans="1:36" ht="12.95" customHeight="1" x14ac:dyDescent="0.25">
      <c r="A427" s="1522" t="s">
        <v>691</v>
      </c>
      <c r="B427" s="1523"/>
      <c r="C427" s="1523"/>
      <c r="D427" s="1523"/>
      <c r="E427" s="1523"/>
      <c r="F427" s="1523"/>
      <c r="G427" s="1523"/>
      <c r="H427" s="1523"/>
      <c r="I427" s="1523"/>
      <c r="J427" s="1523"/>
      <c r="K427" s="1523"/>
      <c r="L427" s="1523"/>
      <c r="M427" s="1523"/>
      <c r="N427" s="1523"/>
      <c r="O427" s="1523"/>
      <c r="P427" s="1523"/>
      <c r="Q427" s="1523"/>
      <c r="R427" s="1523"/>
      <c r="S427" s="1523"/>
      <c r="T427" s="1524"/>
      <c r="U427" s="1524"/>
      <c r="V427" s="1523"/>
      <c r="W427" s="1523"/>
      <c r="X427" s="1523"/>
      <c r="Y427" s="1523"/>
      <c r="Z427" s="1523"/>
      <c r="AA427" s="1523"/>
      <c r="AB427" s="1523"/>
      <c r="AC427" s="1523"/>
      <c r="AD427" s="1523"/>
      <c r="AE427" s="1523"/>
      <c r="AF427" s="1523"/>
      <c r="AG427" s="1523"/>
      <c r="AH427" s="1525"/>
    </row>
    <row r="428" spans="1:36" ht="12.95" customHeight="1" x14ac:dyDescent="0.25">
      <c r="A428" s="506" t="s">
        <v>539</v>
      </c>
      <c r="B428" s="71" t="s">
        <v>211</v>
      </c>
      <c r="C428" s="1128" t="s">
        <v>444</v>
      </c>
      <c r="D428" s="65">
        <v>1</v>
      </c>
      <c r="E428" s="65">
        <v>1</v>
      </c>
      <c r="F428" s="65">
        <v>1</v>
      </c>
      <c r="G428" s="65">
        <v>1</v>
      </c>
      <c r="H428" s="65">
        <f>ROUND((F428/G428),2)</f>
        <v>1</v>
      </c>
      <c r="I428" s="65">
        <v>180</v>
      </c>
      <c r="J428" s="65">
        <v>90</v>
      </c>
      <c r="K428" s="66">
        <v>95</v>
      </c>
      <c r="L428" s="66">
        <v>0.01</v>
      </c>
      <c r="M428" s="66">
        <v>0.01</v>
      </c>
      <c r="N428" s="65">
        <v>4</v>
      </c>
      <c r="O428" s="65">
        <v>6</v>
      </c>
      <c r="P428" s="65">
        <v>20</v>
      </c>
      <c r="Q428" s="65">
        <v>1</v>
      </c>
      <c r="R428" s="72">
        <v>1</v>
      </c>
      <c r="S428" s="65">
        <v>2</v>
      </c>
      <c r="T428" s="72">
        <v>4</v>
      </c>
      <c r="U428" s="72">
        <v>4</v>
      </c>
      <c r="V428" s="108">
        <f>ROUND((R428*N428+T428*L428+Q428*D428),4)</f>
        <v>5.04</v>
      </c>
      <c r="W428" s="109">
        <f>ROUND((S428*O428+U428*L428+Q428*D428),4)</f>
        <v>13.04</v>
      </c>
      <c r="X428" s="109">
        <f>ROUND((S428*P428+U428*L428+Q428*D428),4)</f>
        <v>41.04</v>
      </c>
      <c r="Y428" s="109">
        <f>ROUND((T428*M428+Q428*E428),4)</f>
        <v>1.04</v>
      </c>
      <c r="Z428" s="109">
        <f>ROUND((U428*M428+Q428*E428),4)</f>
        <v>1.04</v>
      </c>
      <c r="AA428" s="109">
        <f>ROUND((U428*M428+Q428*E428),4)</f>
        <v>1.04</v>
      </c>
      <c r="AB428" s="109">
        <f>ROUND((H428*(V428+Y428)*G428*I428/1000000),4)</f>
        <v>1.1000000000000001E-3</v>
      </c>
      <c r="AC428" s="109">
        <f>ROUND((H428*(W428+Z428)*G428*J428/1000000),4)</f>
        <v>1.2999999999999999E-3</v>
      </c>
      <c r="AD428" s="109">
        <f>ROUND((H428*(X428+AA428)*G428*K428/1000000),4)</f>
        <v>4.0000000000000001E-3</v>
      </c>
      <c r="AE428" s="73" t="s">
        <v>48</v>
      </c>
      <c r="AF428" s="74" t="s">
        <v>49</v>
      </c>
      <c r="AG428" s="75">
        <f>ROUND(((X428*F428/3600)*0.8),4)</f>
        <v>9.1000000000000004E-3</v>
      </c>
      <c r="AH428" s="75">
        <f>ROUND(((AB428+AC428+AD428)*0.8),4)</f>
        <v>5.1000000000000004E-3</v>
      </c>
    </row>
    <row r="429" spans="1:36" ht="12.95" customHeight="1" x14ac:dyDescent="0.25">
      <c r="A429" s="570" t="s">
        <v>166</v>
      </c>
      <c r="B429" s="67" t="s">
        <v>212</v>
      </c>
      <c r="C429" s="1129"/>
      <c r="D429" s="67"/>
      <c r="E429" s="67"/>
      <c r="F429" s="67"/>
      <c r="G429" s="67"/>
      <c r="H429" s="67"/>
      <c r="I429" s="67"/>
      <c r="J429" s="67"/>
      <c r="K429" s="67"/>
      <c r="L429" s="68"/>
      <c r="M429" s="68"/>
      <c r="N429" s="67"/>
      <c r="O429" s="67"/>
      <c r="P429" s="67"/>
      <c r="Q429" s="69"/>
      <c r="R429" s="69"/>
      <c r="S429" s="70"/>
      <c r="T429" s="69"/>
      <c r="U429" s="69"/>
      <c r="V429" s="110"/>
      <c r="W429" s="111"/>
      <c r="X429" s="111"/>
      <c r="Y429" s="111"/>
      <c r="Z429" s="111"/>
      <c r="AA429" s="111"/>
      <c r="AB429" s="111"/>
      <c r="AC429" s="111"/>
      <c r="AD429" s="111"/>
      <c r="AE429" s="73" t="s">
        <v>51</v>
      </c>
      <c r="AF429" s="74" t="s">
        <v>52</v>
      </c>
      <c r="AG429" s="75">
        <f>ROUND(((X428*F428/3600)*0.13),4)</f>
        <v>1.5E-3</v>
      </c>
      <c r="AH429" s="75">
        <f>ROUND(((AB428+AC428+AD428)*0.13),4)</f>
        <v>8.0000000000000004E-4</v>
      </c>
    </row>
    <row r="430" spans="1:36" ht="12.95" customHeight="1" x14ac:dyDescent="0.25">
      <c r="A430" s="571"/>
      <c r="B430" s="76" t="s">
        <v>491</v>
      </c>
      <c r="C430" s="76"/>
      <c r="D430" s="67"/>
      <c r="E430" s="67"/>
      <c r="F430" s="67"/>
      <c r="G430" s="67"/>
      <c r="H430" s="67"/>
      <c r="I430" s="67"/>
      <c r="J430" s="67"/>
      <c r="K430" s="67"/>
      <c r="L430" s="68"/>
      <c r="M430" s="68"/>
      <c r="N430" s="67"/>
      <c r="O430" s="67"/>
      <c r="P430" s="67"/>
      <c r="Q430" s="75">
        <v>0.1</v>
      </c>
      <c r="R430" s="78">
        <v>0.113</v>
      </c>
      <c r="S430" s="79">
        <v>0.13600000000000001</v>
      </c>
      <c r="T430" s="78">
        <v>0.54</v>
      </c>
      <c r="U430" s="78">
        <v>0.67</v>
      </c>
      <c r="V430" s="108">
        <f>ROUND((R430*N428+T430*L428+Q430*D428),4)</f>
        <v>0.55740000000000001</v>
      </c>
      <c r="W430" s="109">
        <f>ROUND((S430*0.9*O428+U430*0.9*L428+Q430*D428),4)</f>
        <v>0.84040000000000004</v>
      </c>
      <c r="X430" s="109">
        <f>ROUND((S430*P428+U430*L428+Q430*D428),4)</f>
        <v>2.8267000000000002</v>
      </c>
      <c r="Y430" s="109">
        <f>ROUND((T430*M428+Q430*E428),4)</f>
        <v>0.10539999999999999</v>
      </c>
      <c r="Z430" s="109">
        <f>ROUND((U430*0.9*M428+Q430*E428),4)</f>
        <v>0.106</v>
      </c>
      <c r="AA430" s="109">
        <f>ROUND((U430*M428+Q430*E428),4)</f>
        <v>0.1067</v>
      </c>
      <c r="AB430" s="109">
        <f>ROUND((H428*(V430+Y430)*G428*I428/1000000),5)</f>
        <v>1.2E-4</v>
      </c>
      <c r="AC430" s="109">
        <f>ROUND((H428*(W430+Z430)*G428*J428/1000000),5)</f>
        <v>9.0000000000000006E-5</v>
      </c>
      <c r="AD430" s="109">
        <f>ROUND((H428*(X430+AA430)*G428*K428/1000000),5)</f>
        <v>2.7999999999999998E-4</v>
      </c>
      <c r="AE430" s="73" t="s">
        <v>56</v>
      </c>
      <c r="AF430" s="74" t="s">
        <v>57</v>
      </c>
      <c r="AG430" s="75">
        <f>ROUND(((X430*F428/3600)),4)</f>
        <v>8.0000000000000004E-4</v>
      </c>
      <c r="AH430" s="75">
        <f>AB430+AC430+AD430</f>
        <v>4.8999999999999998E-4</v>
      </c>
    </row>
    <row r="431" spans="1:36" ht="12.95" customHeight="1" x14ac:dyDescent="0.25">
      <c r="A431" s="571"/>
      <c r="B431" s="132"/>
      <c r="C431" s="67"/>
      <c r="D431" s="67"/>
      <c r="E431" s="67"/>
      <c r="F431" s="67"/>
      <c r="G431" s="67"/>
      <c r="H431" s="67"/>
      <c r="I431" s="67"/>
      <c r="J431" s="67"/>
      <c r="K431" s="67"/>
      <c r="L431" s="68"/>
      <c r="M431" s="68"/>
      <c r="N431" s="67"/>
      <c r="O431" s="67"/>
      <c r="P431" s="67"/>
      <c r="Q431" s="75">
        <v>0.45</v>
      </c>
      <c r="R431" s="78">
        <v>0.4</v>
      </c>
      <c r="S431" s="75">
        <v>1.1000000000000001</v>
      </c>
      <c r="T431" s="78">
        <v>1</v>
      </c>
      <c r="U431" s="78">
        <v>1.2</v>
      </c>
      <c r="V431" s="108">
        <f>ROUND((R431*N428+T431*L428+Q431*D428),4)</f>
        <v>2.06</v>
      </c>
      <c r="W431" s="109">
        <f>ROUND((S431*0.9*O428+U431*0.9*L428+Q431*D428),4)</f>
        <v>6.4008000000000003</v>
      </c>
      <c r="X431" s="109">
        <f>ROUND((S431*P428+U431*L428+Q431*D428),4)</f>
        <v>22.462</v>
      </c>
      <c r="Y431" s="109">
        <f>ROUND((T431*M428+Q431*E428),4)</f>
        <v>0.46</v>
      </c>
      <c r="Z431" s="109">
        <f>ROUND((U431*0.9*M428+Q431*E428),4)</f>
        <v>0.46079999999999999</v>
      </c>
      <c r="AA431" s="109">
        <f>ROUND((U431*M428+Q431*E428),4)</f>
        <v>0.46200000000000002</v>
      </c>
      <c r="AB431" s="109">
        <f>ROUND((H428*(V431+Y431)*G428*I428/1000000),4)</f>
        <v>5.0000000000000001E-4</v>
      </c>
      <c r="AC431" s="109">
        <f>ROUND((H428*(W431+Z431)*G428*J428/1000000),4)</f>
        <v>5.9999999999999995E-4</v>
      </c>
      <c r="AD431" s="109">
        <f>ROUND((H428*(X431+AA431)*G428*K428/1000000),4)</f>
        <v>2.2000000000000001E-3</v>
      </c>
      <c r="AE431" s="73" t="s">
        <v>177</v>
      </c>
      <c r="AF431" s="74" t="s">
        <v>178</v>
      </c>
      <c r="AG431" s="75">
        <f>ROUND(((X431*F428/3600)),4)</f>
        <v>6.1999999999999998E-3</v>
      </c>
      <c r="AH431" s="75">
        <f>AB431+AC431+AD431</f>
        <v>3.3E-3</v>
      </c>
    </row>
    <row r="432" spans="1:36" ht="12.95" customHeight="1" x14ac:dyDescent="0.25">
      <c r="A432" s="572"/>
      <c r="B432" s="67"/>
      <c r="C432" s="67"/>
      <c r="D432" s="67"/>
      <c r="E432" s="67"/>
      <c r="F432" s="67"/>
      <c r="G432" s="67"/>
      <c r="H432" s="67"/>
      <c r="I432" s="67"/>
      <c r="J432" s="67"/>
      <c r="K432" s="67"/>
      <c r="L432" s="68"/>
      <c r="M432" s="68"/>
      <c r="N432" s="67"/>
      <c r="O432" s="67"/>
      <c r="P432" s="67"/>
      <c r="Q432" s="75">
        <v>2.9</v>
      </c>
      <c r="R432" s="78">
        <v>3</v>
      </c>
      <c r="S432" s="75">
        <v>8.1999999999999993</v>
      </c>
      <c r="T432" s="78">
        <v>6.1</v>
      </c>
      <c r="U432" s="78">
        <v>7.4</v>
      </c>
      <c r="V432" s="167">
        <f>ROUND((R432*N428+T432*L428+Q432*D428),4)</f>
        <v>14.961</v>
      </c>
      <c r="W432" s="168">
        <f>ROUND((S432*0.9*O428+U432*0.9*L428+Q432*D428),4)</f>
        <v>47.246600000000001</v>
      </c>
      <c r="X432" s="168">
        <f>ROUND((S432*P428+U432*L428+Q432*D428),4)</f>
        <v>166.97399999999999</v>
      </c>
      <c r="Y432" s="168">
        <f>ROUND((T432*M428+Q432*E428),4)</f>
        <v>2.9609999999999999</v>
      </c>
      <c r="Z432" s="168">
        <f>ROUND((U432*0.9*M428+Q432*E428),4)</f>
        <v>2.9666000000000001</v>
      </c>
      <c r="AA432" s="168">
        <f>ROUND((U432*M428+Q432*E428),4)</f>
        <v>2.9740000000000002</v>
      </c>
      <c r="AB432" s="168">
        <f>ROUND((H428*(V432+Y432)*G428*I428/1000000),4)</f>
        <v>3.2000000000000002E-3</v>
      </c>
      <c r="AC432" s="168">
        <f>ROUND((H428*(W432+Z432)*G428*J428/1000000),4)</f>
        <v>4.4999999999999997E-3</v>
      </c>
      <c r="AD432" s="168">
        <f>ROUND((H428*(X432+AA432)*G428*K428/1000000),4)</f>
        <v>1.61E-2</v>
      </c>
      <c r="AE432" s="73" t="s">
        <v>65</v>
      </c>
      <c r="AF432" s="74" t="s">
        <v>66</v>
      </c>
      <c r="AG432" s="75">
        <f>ROUND(((X432*F428/3600)),4)</f>
        <v>4.6399999999999997E-2</v>
      </c>
      <c r="AH432" s="75">
        <f>AB432+AC432+AD432</f>
        <v>2.3800000000000002E-2</v>
      </c>
    </row>
    <row r="433" spans="1:36" ht="12.95" customHeight="1" x14ac:dyDescent="0.25">
      <c r="A433" s="573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70"/>
      <c r="M433" s="70"/>
      <c r="N433" s="69"/>
      <c r="O433" s="69"/>
      <c r="P433" s="69"/>
      <c r="Q433" s="75">
        <v>0.04</v>
      </c>
      <c r="R433" s="78">
        <v>0.04</v>
      </c>
      <c r="S433" s="75">
        <v>0.16</v>
      </c>
      <c r="T433" s="78">
        <v>0.3</v>
      </c>
      <c r="U433" s="78">
        <v>0.4</v>
      </c>
      <c r="V433" s="167">
        <f>ROUND((R433*N428+T433*L428+Q433*D428),4)</f>
        <v>0.20300000000000001</v>
      </c>
      <c r="W433" s="168">
        <f>ROUND((S433*0.9*O428+U433*0.9*L428+Q433*D428),4)</f>
        <v>0.90759999999999996</v>
      </c>
      <c r="X433" s="168">
        <f>ROUND((S433*P428+U433*L428+Q433*D428),4)</f>
        <v>3.2440000000000002</v>
      </c>
      <c r="Y433" s="168">
        <f>ROUND((T433*M428+Q433*E428),4)</f>
        <v>4.2999999999999997E-2</v>
      </c>
      <c r="Z433" s="168">
        <f>ROUND((U433*0.9*M428+Q433*E428),4)</f>
        <v>4.36E-2</v>
      </c>
      <c r="AA433" s="168">
        <f>ROUND((U433*M428+Q433*E428),4)</f>
        <v>4.3999999999999997E-2</v>
      </c>
      <c r="AB433" s="168">
        <f>ROUND((H428*(V433+Y433)*G428*I428/1000000),5)</f>
        <v>4.0000000000000003E-5</v>
      </c>
      <c r="AC433" s="168">
        <f>ROUND((H428*(W433+Z433)*G428*J428/1000000),5)</f>
        <v>9.0000000000000006E-5</v>
      </c>
      <c r="AD433" s="168">
        <f>ROUND((H428*(X433+AA433)*G428*K428/1000000),4)</f>
        <v>2.9999999999999997E-4</v>
      </c>
      <c r="AE433" s="73" t="s">
        <v>213</v>
      </c>
      <c r="AF433" s="74" t="s">
        <v>62</v>
      </c>
      <c r="AG433" s="75">
        <f>ROUND(((X433*F428/3600)),4)</f>
        <v>8.9999999999999998E-4</v>
      </c>
      <c r="AH433" s="75">
        <f>AB433+AC433+AD433</f>
        <v>4.2999999999999999E-4</v>
      </c>
      <c r="AI433" s="61">
        <f>SUM(AG428:AG433)</f>
        <v>6.4899999999999999E-2</v>
      </c>
      <c r="AJ433" s="61">
        <f>SUM(AH428:AH433)</f>
        <v>3.3920000000000006E-2</v>
      </c>
    </row>
    <row r="434" spans="1:36" ht="12.95" customHeight="1" x14ac:dyDescent="0.25">
      <c r="A434" s="1522" t="s">
        <v>692</v>
      </c>
      <c r="B434" s="1523"/>
      <c r="C434" s="1523"/>
      <c r="D434" s="1523"/>
      <c r="E434" s="1523"/>
      <c r="F434" s="1523"/>
      <c r="G434" s="1523"/>
      <c r="H434" s="1523"/>
      <c r="I434" s="1523"/>
      <c r="J434" s="1523"/>
      <c r="K434" s="1523"/>
      <c r="L434" s="1523"/>
      <c r="M434" s="1523"/>
      <c r="N434" s="1523"/>
      <c r="O434" s="1523"/>
      <c r="P434" s="1523"/>
      <c r="Q434" s="1523"/>
      <c r="R434" s="1523"/>
      <c r="S434" s="1523"/>
      <c r="T434" s="1524"/>
      <c r="U434" s="1524"/>
      <c r="V434" s="1523"/>
      <c r="W434" s="1523"/>
      <c r="X434" s="1523"/>
      <c r="Y434" s="1523"/>
      <c r="Z434" s="1523"/>
      <c r="AA434" s="1523"/>
      <c r="AB434" s="1523"/>
      <c r="AC434" s="1523"/>
      <c r="AD434" s="1523"/>
      <c r="AE434" s="1523"/>
      <c r="AF434" s="1523"/>
      <c r="AG434" s="1523"/>
      <c r="AH434" s="1525"/>
    </row>
    <row r="435" spans="1:36" ht="12.95" customHeight="1" x14ac:dyDescent="0.25">
      <c r="A435" s="506" t="s">
        <v>541</v>
      </c>
      <c r="B435" s="71" t="s">
        <v>211</v>
      </c>
      <c r="C435" s="1128" t="s">
        <v>444</v>
      </c>
      <c r="D435" s="65">
        <v>1</v>
      </c>
      <c r="E435" s="65">
        <v>1</v>
      </c>
      <c r="F435" s="65">
        <v>1</v>
      </c>
      <c r="G435" s="65">
        <v>1</v>
      </c>
      <c r="H435" s="65">
        <f>ROUND((F435/G435),2)</f>
        <v>1</v>
      </c>
      <c r="I435" s="65">
        <v>180</v>
      </c>
      <c r="J435" s="65">
        <v>90</v>
      </c>
      <c r="K435" s="66">
        <v>95</v>
      </c>
      <c r="L435" s="66">
        <v>0.01</v>
      </c>
      <c r="M435" s="66">
        <v>0.01</v>
      </c>
      <c r="N435" s="65">
        <v>4</v>
      </c>
      <c r="O435" s="65">
        <v>6</v>
      </c>
      <c r="P435" s="65">
        <v>20</v>
      </c>
      <c r="Q435" s="65">
        <v>1</v>
      </c>
      <c r="R435" s="72">
        <v>1</v>
      </c>
      <c r="S435" s="65">
        <v>2</v>
      </c>
      <c r="T435" s="72">
        <v>4</v>
      </c>
      <c r="U435" s="72">
        <v>4</v>
      </c>
      <c r="V435" s="108">
        <f>ROUND((R435*N435+T435*L435+Q435*D435),4)</f>
        <v>5.04</v>
      </c>
      <c r="W435" s="109">
        <f>ROUND((S435*O435+U435*L435+Q435*D435),4)</f>
        <v>13.04</v>
      </c>
      <c r="X435" s="109">
        <f>ROUND((S435*P435+U435*L435+Q435*D435),4)</f>
        <v>41.04</v>
      </c>
      <c r="Y435" s="109">
        <f>ROUND((T435*M435+Q435*E435),4)</f>
        <v>1.04</v>
      </c>
      <c r="Z435" s="109">
        <f>ROUND((U435*M435+Q435*E435),4)</f>
        <v>1.04</v>
      </c>
      <c r="AA435" s="109">
        <f>ROUND((U435*M435+Q435*E435),4)</f>
        <v>1.04</v>
      </c>
      <c r="AB435" s="109">
        <f>ROUND((H435*(V435+Y435)*G435*I435/1000000),4)</f>
        <v>1.1000000000000001E-3</v>
      </c>
      <c r="AC435" s="109">
        <f>ROUND((H435*(W435+Z435)*G435*J435/1000000),4)</f>
        <v>1.2999999999999999E-3</v>
      </c>
      <c r="AD435" s="109">
        <f>ROUND((H435*(X435+AA435)*G435*K435/1000000),4)</f>
        <v>4.0000000000000001E-3</v>
      </c>
      <c r="AE435" s="73" t="s">
        <v>48</v>
      </c>
      <c r="AF435" s="74" t="s">
        <v>49</v>
      </c>
      <c r="AG435" s="75">
        <f>ROUND(((X435*F435/3600)*0.8),4)</f>
        <v>9.1000000000000004E-3</v>
      </c>
      <c r="AH435" s="75">
        <f>ROUND(((AB435+AC435+AD435)*0.8),4)</f>
        <v>5.1000000000000004E-3</v>
      </c>
    </row>
    <row r="436" spans="1:36" ht="12.95" customHeight="1" x14ac:dyDescent="0.25">
      <c r="A436" s="570" t="s">
        <v>166</v>
      </c>
      <c r="B436" s="67" t="s">
        <v>212</v>
      </c>
      <c r="C436" s="1129"/>
      <c r="D436" s="67"/>
      <c r="E436" s="67"/>
      <c r="F436" s="67"/>
      <c r="G436" s="67"/>
      <c r="H436" s="67"/>
      <c r="I436" s="67"/>
      <c r="J436" s="67"/>
      <c r="K436" s="67"/>
      <c r="L436" s="68"/>
      <c r="M436" s="68"/>
      <c r="N436" s="67"/>
      <c r="O436" s="67"/>
      <c r="P436" s="67"/>
      <c r="Q436" s="69"/>
      <c r="R436" s="69"/>
      <c r="S436" s="70"/>
      <c r="T436" s="69"/>
      <c r="U436" s="69"/>
      <c r="V436" s="110"/>
      <c r="W436" s="111"/>
      <c r="X436" s="111"/>
      <c r="Y436" s="111"/>
      <c r="Z436" s="111"/>
      <c r="AA436" s="111"/>
      <c r="AB436" s="111"/>
      <c r="AC436" s="111"/>
      <c r="AD436" s="111"/>
      <c r="AE436" s="73" t="s">
        <v>51</v>
      </c>
      <c r="AF436" s="74" t="s">
        <v>52</v>
      </c>
      <c r="AG436" s="75">
        <f>ROUND(((X435*F435/3600)*0.13),4)</f>
        <v>1.5E-3</v>
      </c>
      <c r="AH436" s="75">
        <f>ROUND(((AB435+AC435+AD435)*0.13),4)</f>
        <v>8.0000000000000004E-4</v>
      </c>
    </row>
    <row r="437" spans="1:36" ht="12.95" customHeight="1" x14ac:dyDescent="0.25">
      <c r="A437" s="571"/>
      <c r="B437" s="76" t="s">
        <v>491</v>
      </c>
      <c r="C437" s="76"/>
      <c r="D437" s="67"/>
      <c r="E437" s="67"/>
      <c r="F437" s="67"/>
      <c r="G437" s="67"/>
      <c r="H437" s="67"/>
      <c r="I437" s="67"/>
      <c r="J437" s="67"/>
      <c r="K437" s="67"/>
      <c r="L437" s="68"/>
      <c r="M437" s="68"/>
      <c r="N437" s="67"/>
      <c r="O437" s="67"/>
      <c r="P437" s="67"/>
      <c r="Q437" s="75">
        <v>0.1</v>
      </c>
      <c r="R437" s="78">
        <v>0.113</v>
      </c>
      <c r="S437" s="79">
        <v>0.13600000000000001</v>
      </c>
      <c r="T437" s="78">
        <v>0.54</v>
      </c>
      <c r="U437" s="78">
        <v>0.67</v>
      </c>
      <c r="V437" s="108">
        <f>ROUND((R437*N435+T437*L435+Q437*D435),4)</f>
        <v>0.55740000000000001</v>
      </c>
      <c r="W437" s="109">
        <f>ROUND((S437*0.9*O435+U437*0.9*L435+Q437*D435),4)</f>
        <v>0.84040000000000004</v>
      </c>
      <c r="X437" s="109">
        <f>ROUND((S437*P435+U437*L435+Q437*D435),4)</f>
        <v>2.8267000000000002</v>
      </c>
      <c r="Y437" s="109">
        <f>ROUND((T437*M435+Q437*E435),4)</f>
        <v>0.10539999999999999</v>
      </c>
      <c r="Z437" s="109">
        <f>ROUND((U437*0.9*M435+Q437*E435),4)</f>
        <v>0.106</v>
      </c>
      <c r="AA437" s="109">
        <f>ROUND((U437*M435+Q437*E435),4)</f>
        <v>0.1067</v>
      </c>
      <c r="AB437" s="109">
        <f>ROUND((H435*(V437+Y437)*G435*I435/1000000),5)</f>
        <v>1.2E-4</v>
      </c>
      <c r="AC437" s="109">
        <f>ROUND((H435*(W437+Z437)*G435*J435/1000000),5)</f>
        <v>9.0000000000000006E-5</v>
      </c>
      <c r="AD437" s="109">
        <f>ROUND((H435*(X437+AA437)*G435*K435/1000000),5)</f>
        <v>2.7999999999999998E-4</v>
      </c>
      <c r="AE437" s="73" t="s">
        <v>56</v>
      </c>
      <c r="AF437" s="74" t="s">
        <v>57</v>
      </c>
      <c r="AG437" s="75">
        <f>ROUND(((X437*F435/3600)),4)</f>
        <v>8.0000000000000004E-4</v>
      </c>
      <c r="AH437" s="75">
        <f>AB437+AC437+AD437</f>
        <v>4.8999999999999998E-4</v>
      </c>
    </row>
    <row r="438" spans="1:36" ht="12.95" customHeight="1" x14ac:dyDescent="0.25">
      <c r="A438" s="571"/>
      <c r="B438" s="132"/>
      <c r="C438" s="67"/>
      <c r="D438" s="67"/>
      <c r="E438" s="67"/>
      <c r="F438" s="67"/>
      <c r="G438" s="67"/>
      <c r="H438" s="67"/>
      <c r="I438" s="67"/>
      <c r="J438" s="67"/>
      <c r="K438" s="67"/>
      <c r="L438" s="68"/>
      <c r="M438" s="68"/>
      <c r="N438" s="67"/>
      <c r="O438" s="67"/>
      <c r="P438" s="67"/>
      <c r="Q438" s="75">
        <v>0.45</v>
      </c>
      <c r="R438" s="78">
        <v>0.4</v>
      </c>
      <c r="S438" s="75">
        <v>1.1000000000000001</v>
      </c>
      <c r="T438" s="78">
        <v>1</v>
      </c>
      <c r="U438" s="78">
        <v>1.2</v>
      </c>
      <c r="V438" s="108">
        <f>ROUND((R438*N435+T438*L435+Q438*D435),4)</f>
        <v>2.06</v>
      </c>
      <c r="W438" s="109">
        <f>ROUND((S438*0.9*O435+U438*0.9*L435+Q438*D435),4)</f>
        <v>6.4008000000000003</v>
      </c>
      <c r="X438" s="109">
        <f>ROUND((S438*P435+U438*L435+Q438*D435),4)</f>
        <v>22.462</v>
      </c>
      <c r="Y438" s="109">
        <f>ROUND((T438*M435+Q438*E435),4)</f>
        <v>0.46</v>
      </c>
      <c r="Z438" s="109">
        <f>ROUND((U438*0.9*M435+Q438*E435),4)</f>
        <v>0.46079999999999999</v>
      </c>
      <c r="AA438" s="109">
        <f>ROUND((U438*M435+Q438*E435),4)</f>
        <v>0.46200000000000002</v>
      </c>
      <c r="AB438" s="109">
        <f>ROUND((H435*(V438+Y438)*G435*I435/1000000),4)</f>
        <v>5.0000000000000001E-4</v>
      </c>
      <c r="AC438" s="109">
        <f>ROUND((H435*(W438+Z438)*G435*J435/1000000),4)</f>
        <v>5.9999999999999995E-4</v>
      </c>
      <c r="AD438" s="109">
        <f>ROUND((H435*(X438+AA438)*G435*K435/1000000),4)</f>
        <v>2.2000000000000001E-3</v>
      </c>
      <c r="AE438" s="73" t="s">
        <v>177</v>
      </c>
      <c r="AF438" s="74" t="s">
        <v>178</v>
      </c>
      <c r="AG438" s="75">
        <f>ROUND(((X438*F435/3600)),4)</f>
        <v>6.1999999999999998E-3</v>
      </c>
      <c r="AH438" s="75">
        <f>AB438+AC438+AD438</f>
        <v>3.3E-3</v>
      </c>
    </row>
    <row r="439" spans="1:36" ht="12.95" customHeight="1" x14ac:dyDescent="0.25">
      <c r="A439" s="572"/>
      <c r="B439" s="67"/>
      <c r="C439" s="67"/>
      <c r="D439" s="67"/>
      <c r="E439" s="67"/>
      <c r="F439" s="67"/>
      <c r="G439" s="67"/>
      <c r="H439" s="67"/>
      <c r="I439" s="67"/>
      <c r="J439" s="67"/>
      <c r="K439" s="67"/>
      <c r="L439" s="68"/>
      <c r="M439" s="68"/>
      <c r="N439" s="67"/>
      <c r="O439" s="67"/>
      <c r="P439" s="67"/>
      <c r="Q439" s="75">
        <v>2.9</v>
      </c>
      <c r="R439" s="78">
        <v>3</v>
      </c>
      <c r="S439" s="75">
        <v>8.1999999999999993</v>
      </c>
      <c r="T439" s="78">
        <v>6.1</v>
      </c>
      <c r="U439" s="78">
        <v>7.4</v>
      </c>
      <c r="V439" s="167">
        <f>ROUND((R439*N435+T439*L435+Q439*D435),4)</f>
        <v>14.961</v>
      </c>
      <c r="W439" s="168">
        <f>ROUND((S439*0.9*O435+U439*0.9*L435+Q439*D435),4)</f>
        <v>47.246600000000001</v>
      </c>
      <c r="X439" s="168">
        <f>ROUND((S439*P435+U439*L435+Q439*D435),4)</f>
        <v>166.97399999999999</v>
      </c>
      <c r="Y439" s="168">
        <f>ROUND((T439*M435+Q439*E435),4)</f>
        <v>2.9609999999999999</v>
      </c>
      <c r="Z439" s="168">
        <f>ROUND((U439*0.9*M435+Q439*E435),4)</f>
        <v>2.9666000000000001</v>
      </c>
      <c r="AA439" s="168">
        <f>ROUND((U439*M435+Q439*E435),4)</f>
        <v>2.9740000000000002</v>
      </c>
      <c r="AB439" s="168">
        <f>ROUND((H435*(V439+Y439)*G435*I435/1000000),4)</f>
        <v>3.2000000000000002E-3</v>
      </c>
      <c r="AC439" s="168">
        <f>ROUND((H435*(W439+Z439)*G435*J435/1000000),4)</f>
        <v>4.4999999999999997E-3</v>
      </c>
      <c r="AD439" s="168">
        <f>ROUND((H435*(X439+AA439)*G435*K435/1000000),4)</f>
        <v>1.61E-2</v>
      </c>
      <c r="AE439" s="73" t="s">
        <v>65</v>
      </c>
      <c r="AF439" s="74" t="s">
        <v>66</v>
      </c>
      <c r="AG439" s="75">
        <f>ROUND(((X439*F435/3600)),4)</f>
        <v>4.6399999999999997E-2</v>
      </c>
      <c r="AH439" s="75">
        <f>AB439+AC439+AD439</f>
        <v>2.3800000000000002E-2</v>
      </c>
    </row>
    <row r="440" spans="1:36" ht="12.95" customHeight="1" x14ac:dyDescent="0.25">
      <c r="A440" s="573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70"/>
      <c r="M440" s="70"/>
      <c r="N440" s="69"/>
      <c r="O440" s="69"/>
      <c r="P440" s="69"/>
      <c r="Q440" s="75">
        <v>0.04</v>
      </c>
      <c r="R440" s="78">
        <v>0.04</v>
      </c>
      <c r="S440" s="75">
        <v>0.16</v>
      </c>
      <c r="T440" s="78">
        <v>0.3</v>
      </c>
      <c r="U440" s="78">
        <v>0.4</v>
      </c>
      <c r="V440" s="167">
        <f>ROUND((R440*N435+T440*L435+Q440*D435),4)</f>
        <v>0.20300000000000001</v>
      </c>
      <c r="W440" s="168">
        <f>ROUND((S440*0.9*O435+U440*0.9*L435+Q440*D435),4)</f>
        <v>0.90759999999999996</v>
      </c>
      <c r="X440" s="168">
        <f>ROUND((S440*P435+U440*L435+Q440*D435),4)</f>
        <v>3.2440000000000002</v>
      </c>
      <c r="Y440" s="168">
        <f>ROUND((T440*M435+Q440*E435),4)</f>
        <v>4.2999999999999997E-2</v>
      </c>
      <c r="Z440" s="168">
        <f>ROUND((U440*0.9*M435+Q440*E435),4)</f>
        <v>4.36E-2</v>
      </c>
      <c r="AA440" s="168">
        <f>ROUND((U440*M435+Q440*E435),4)</f>
        <v>4.3999999999999997E-2</v>
      </c>
      <c r="AB440" s="168">
        <f>ROUND((H435*(V440+Y440)*G435*I435/1000000),5)</f>
        <v>4.0000000000000003E-5</v>
      </c>
      <c r="AC440" s="168">
        <f>ROUND((H435*(W440+Z440)*G435*J435/1000000),5)</f>
        <v>9.0000000000000006E-5</v>
      </c>
      <c r="AD440" s="168">
        <f>ROUND((H435*(X440+AA440)*G435*K435/1000000),4)</f>
        <v>2.9999999999999997E-4</v>
      </c>
      <c r="AE440" s="73" t="s">
        <v>213</v>
      </c>
      <c r="AF440" s="74" t="s">
        <v>62</v>
      </c>
      <c r="AG440" s="75">
        <f>ROUND(((X440*F435/3600)),4)</f>
        <v>8.9999999999999998E-4</v>
      </c>
      <c r="AH440" s="75">
        <f>AB440+AC440+AD440</f>
        <v>4.2999999999999999E-4</v>
      </c>
      <c r="AI440" s="61">
        <f>SUM(AG435:AG440)</f>
        <v>6.4899999999999999E-2</v>
      </c>
      <c r="AJ440" s="61">
        <f>SUM(AH435:AH440)</f>
        <v>3.3920000000000006E-2</v>
      </c>
    </row>
    <row r="441" spans="1:36" ht="12.95" customHeight="1" x14ac:dyDescent="0.25">
      <c r="A441" s="1522" t="s">
        <v>694</v>
      </c>
      <c r="B441" s="1523"/>
      <c r="C441" s="1523"/>
      <c r="D441" s="1523"/>
      <c r="E441" s="1523"/>
      <c r="F441" s="1523"/>
      <c r="G441" s="1523"/>
      <c r="H441" s="1523"/>
      <c r="I441" s="1523"/>
      <c r="J441" s="1523"/>
      <c r="K441" s="1523"/>
      <c r="L441" s="1523"/>
      <c r="M441" s="1523"/>
      <c r="N441" s="1523"/>
      <c r="O441" s="1523"/>
      <c r="P441" s="1523"/>
      <c r="Q441" s="1523"/>
      <c r="R441" s="1523"/>
      <c r="S441" s="1523"/>
      <c r="T441" s="1524"/>
      <c r="U441" s="1524"/>
      <c r="V441" s="1523"/>
      <c r="W441" s="1523"/>
      <c r="X441" s="1523"/>
      <c r="Y441" s="1523"/>
      <c r="Z441" s="1523"/>
      <c r="AA441" s="1523"/>
      <c r="AB441" s="1523"/>
      <c r="AC441" s="1523"/>
      <c r="AD441" s="1523"/>
      <c r="AE441" s="1523"/>
      <c r="AF441" s="1523"/>
      <c r="AG441" s="1523"/>
      <c r="AH441" s="1525"/>
    </row>
    <row r="442" spans="1:36" ht="12.95" customHeight="1" x14ac:dyDescent="0.25">
      <c r="A442" s="506" t="s">
        <v>542</v>
      </c>
      <c r="B442" s="71" t="s">
        <v>211</v>
      </c>
      <c r="C442" s="1128" t="s">
        <v>444</v>
      </c>
      <c r="D442" s="65">
        <v>1</v>
      </c>
      <c r="E442" s="65">
        <v>1</v>
      </c>
      <c r="F442" s="65">
        <v>1</v>
      </c>
      <c r="G442" s="65">
        <v>1</v>
      </c>
      <c r="H442" s="65">
        <f>ROUND((F442/G442),2)</f>
        <v>1</v>
      </c>
      <c r="I442" s="65">
        <v>180</v>
      </c>
      <c r="J442" s="65">
        <v>90</v>
      </c>
      <c r="K442" s="66">
        <v>95</v>
      </c>
      <c r="L442" s="66">
        <v>0.01</v>
      </c>
      <c r="M442" s="66">
        <v>0.01</v>
      </c>
      <c r="N442" s="65">
        <v>4</v>
      </c>
      <c r="O442" s="65">
        <v>6</v>
      </c>
      <c r="P442" s="65">
        <v>20</v>
      </c>
      <c r="Q442" s="65">
        <v>1</v>
      </c>
      <c r="R442" s="72">
        <v>1</v>
      </c>
      <c r="S442" s="65">
        <v>2</v>
      </c>
      <c r="T442" s="72">
        <v>4</v>
      </c>
      <c r="U442" s="72">
        <v>4</v>
      </c>
      <c r="V442" s="108">
        <f>ROUND((R442*N442+T442*L442+Q442*D442),4)</f>
        <v>5.04</v>
      </c>
      <c r="W442" s="109">
        <f>ROUND((S442*O442+U442*L442+Q442*D442),4)</f>
        <v>13.04</v>
      </c>
      <c r="X442" s="109">
        <f>ROUND((S442*P442+U442*L442+Q442*D442),4)</f>
        <v>41.04</v>
      </c>
      <c r="Y442" s="109">
        <f>ROUND((T442*M442+Q442*E442),4)</f>
        <v>1.04</v>
      </c>
      <c r="Z442" s="109">
        <f>ROUND((U442*M442+Q442*E442),4)</f>
        <v>1.04</v>
      </c>
      <c r="AA442" s="109">
        <f>ROUND((U442*M442+Q442*E442),4)</f>
        <v>1.04</v>
      </c>
      <c r="AB442" s="109">
        <f>ROUND((H442*(V442+Y442)*G442*I442/1000000),4)</f>
        <v>1.1000000000000001E-3</v>
      </c>
      <c r="AC442" s="109">
        <f>ROUND((H442*(W442+Z442)*G442*J442/1000000),4)</f>
        <v>1.2999999999999999E-3</v>
      </c>
      <c r="AD442" s="109">
        <f>ROUND((H442*(X442+AA442)*G442*K442/1000000),4)</f>
        <v>4.0000000000000001E-3</v>
      </c>
      <c r="AE442" s="73" t="s">
        <v>48</v>
      </c>
      <c r="AF442" s="74" t="s">
        <v>49</v>
      </c>
      <c r="AG442" s="75">
        <f>ROUND(((X442*F442/3600)*0.8),4)</f>
        <v>9.1000000000000004E-3</v>
      </c>
      <c r="AH442" s="75">
        <f>ROUND(((AB442+AC442+AD442)*0.8),4)</f>
        <v>5.1000000000000004E-3</v>
      </c>
    </row>
    <row r="443" spans="1:36" ht="12.95" customHeight="1" x14ac:dyDescent="0.25">
      <c r="A443" s="570" t="s">
        <v>166</v>
      </c>
      <c r="B443" s="67" t="s">
        <v>212</v>
      </c>
      <c r="C443" s="1129"/>
      <c r="D443" s="67"/>
      <c r="E443" s="67"/>
      <c r="F443" s="67"/>
      <c r="G443" s="67"/>
      <c r="H443" s="67"/>
      <c r="I443" s="67"/>
      <c r="J443" s="67"/>
      <c r="K443" s="67"/>
      <c r="L443" s="68"/>
      <c r="M443" s="68"/>
      <c r="N443" s="67"/>
      <c r="O443" s="67"/>
      <c r="P443" s="67"/>
      <c r="Q443" s="69"/>
      <c r="R443" s="69"/>
      <c r="S443" s="70"/>
      <c r="T443" s="69"/>
      <c r="U443" s="69"/>
      <c r="V443" s="110"/>
      <c r="W443" s="111"/>
      <c r="X443" s="111"/>
      <c r="Y443" s="111"/>
      <c r="Z443" s="111"/>
      <c r="AA443" s="111"/>
      <c r="AB443" s="111"/>
      <c r="AC443" s="111"/>
      <c r="AD443" s="111"/>
      <c r="AE443" s="73" t="s">
        <v>51</v>
      </c>
      <c r="AF443" s="74" t="s">
        <v>52</v>
      </c>
      <c r="AG443" s="75">
        <f>ROUND(((X442*F442/3600)*0.13),4)</f>
        <v>1.5E-3</v>
      </c>
      <c r="AH443" s="75">
        <f>ROUND(((AB442+AC442+AD442)*0.13),4)</f>
        <v>8.0000000000000004E-4</v>
      </c>
    </row>
    <row r="444" spans="1:36" ht="12.95" customHeight="1" x14ac:dyDescent="0.25">
      <c r="A444" s="571"/>
      <c r="B444" s="76" t="s">
        <v>491</v>
      </c>
      <c r="C444" s="76"/>
      <c r="D444" s="67"/>
      <c r="E444" s="67"/>
      <c r="F444" s="67"/>
      <c r="G444" s="67"/>
      <c r="H444" s="67"/>
      <c r="I444" s="67"/>
      <c r="J444" s="67"/>
      <c r="K444" s="67"/>
      <c r="L444" s="68"/>
      <c r="M444" s="68"/>
      <c r="N444" s="67"/>
      <c r="O444" s="67"/>
      <c r="P444" s="67"/>
      <c r="Q444" s="75">
        <v>0.1</v>
      </c>
      <c r="R444" s="78">
        <v>0.113</v>
      </c>
      <c r="S444" s="79">
        <v>0.13600000000000001</v>
      </c>
      <c r="T444" s="78">
        <v>0.54</v>
      </c>
      <c r="U444" s="78">
        <v>0.67</v>
      </c>
      <c r="V444" s="108">
        <f>ROUND((R444*N442+T444*L442+Q444*D442),4)</f>
        <v>0.55740000000000001</v>
      </c>
      <c r="W444" s="109">
        <f>ROUND((S444*0.9*O442+U444*0.9*L442+Q444*D442),4)</f>
        <v>0.84040000000000004</v>
      </c>
      <c r="X444" s="109">
        <f>ROUND((S444*P442+U444*L442+Q444*D442),4)</f>
        <v>2.8267000000000002</v>
      </c>
      <c r="Y444" s="109">
        <f>ROUND((T444*M442+Q444*E442),4)</f>
        <v>0.10539999999999999</v>
      </c>
      <c r="Z444" s="109">
        <f>ROUND((U444*0.9*M442+Q444*E442),4)</f>
        <v>0.106</v>
      </c>
      <c r="AA444" s="109">
        <f>ROUND((U444*M442+Q444*E442),4)</f>
        <v>0.1067</v>
      </c>
      <c r="AB444" s="109">
        <f>ROUND((H442*(V444+Y444)*G442*I442/1000000),5)</f>
        <v>1.2E-4</v>
      </c>
      <c r="AC444" s="109">
        <f>ROUND((H442*(W444+Z444)*G442*J442/1000000),5)</f>
        <v>9.0000000000000006E-5</v>
      </c>
      <c r="AD444" s="109">
        <f>ROUND((H442*(X444+AA444)*G442*K442/1000000),5)</f>
        <v>2.7999999999999998E-4</v>
      </c>
      <c r="AE444" s="73" t="s">
        <v>56</v>
      </c>
      <c r="AF444" s="74" t="s">
        <v>57</v>
      </c>
      <c r="AG444" s="75">
        <f>ROUND(((X444*F442/3600)),4)</f>
        <v>8.0000000000000004E-4</v>
      </c>
      <c r="AH444" s="75">
        <f>AB444+AC444+AD444</f>
        <v>4.8999999999999998E-4</v>
      </c>
    </row>
    <row r="445" spans="1:36" ht="12.95" customHeight="1" x14ac:dyDescent="0.25">
      <c r="A445" s="571"/>
      <c r="B445" s="132"/>
      <c r="C445" s="67"/>
      <c r="D445" s="67"/>
      <c r="E445" s="67"/>
      <c r="F445" s="67"/>
      <c r="G445" s="67"/>
      <c r="H445" s="67"/>
      <c r="I445" s="67"/>
      <c r="J445" s="67"/>
      <c r="K445" s="67"/>
      <c r="L445" s="68"/>
      <c r="M445" s="68"/>
      <c r="N445" s="67"/>
      <c r="O445" s="67"/>
      <c r="P445" s="67"/>
      <c r="Q445" s="75">
        <v>0.45</v>
      </c>
      <c r="R445" s="78">
        <v>0.4</v>
      </c>
      <c r="S445" s="75">
        <v>1.1000000000000001</v>
      </c>
      <c r="T445" s="78">
        <v>1</v>
      </c>
      <c r="U445" s="78">
        <v>1.2</v>
      </c>
      <c r="V445" s="108">
        <f>ROUND((R445*N442+T445*L442+Q445*D442),4)</f>
        <v>2.06</v>
      </c>
      <c r="W445" s="109">
        <f>ROUND((S445*0.9*O442+U445*0.9*L442+Q445*D442),4)</f>
        <v>6.4008000000000003</v>
      </c>
      <c r="X445" s="109">
        <f>ROUND((S445*P442+U445*L442+Q445*D442),4)</f>
        <v>22.462</v>
      </c>
      <c r="Y445" s="109">
        <f>ROUND((T445*M442+Q445*E442),4)</f>
        <v>0.46</v>
      </c>
      <c r="Z445" s="109">
        <f>ROUND((U445*0.9*M442+Q445*E442),4)</f>
        <v>0.46079999999999999</v>
      </c>
      <c r="AA445" s="109">
        <f>ROUND((U445*M442+Q445*E442),4)</f>
        <v>0.46200000000000002</v>
      </c>
      <c r="AB445" s="109">
        <f>ROUND((H442*(V445+Y445)*G442*I442/1000000),4)</f>
        <v>5.0000000000000001E-4</v>
      </c>
      <c r="AC445" s="109">
        <f>ROUND((H442*(W445+Z445)*G442*J442/1000000),4)</f>
        <v>5.9999999999999995E-4</v>
      </c>
      <c r="AD445" s="109">
        <f>ROUND((H442*(X445+AA445)*G442*K442/1000000),4)</f>
        <v>2.2000000000000001E-3</v>
      </c>
      <c r="AE445" s="73" t="s">
        <v>177</v>
      </c>
      <c r="AF445" s="74" t="s">
        <v>178</v>
      </c>
      <c r="AG445" s="75">
        <f>ROUND(((X445*F442/3600)),4)</f>
        <v>6.1999999999999998E-3</v>
      </c>
      <c r="AH445" s="75">
        <f>AB445+AC445+AD445</f>
        <v>3.3E-3</v>
      </c>
    </row>
    <row r="446" spans="1:36" ht="12.95" customHeight="1" x14ac:dyDescent="0.25">
      <c r="A446" s="572"/>
      <c r="B446" s="67"/>
      <c r="C446" s="67"/>
      <c r="D446" s="67"/>
      <c r="E446" s="67"/>
      <c r="F446" s="67"/>
      <c r="G446" s="67"/>
      <c r="H446" s="67"/>
      <c r="I446" s="67"/>
      <c r="J446" s="67"/>
      <c r="K446" s="67"/>
      <c r="L446" s="68"/>
      <c r="M446" s="68"/>
      <c r="N446" s="67"/>
      <c r="O446" s="67"/>
      <c r="P446" s="67"/>
      <c r="Q446" s="75">
        <v>2.9</v>
      </c>
      <c r="R446" s="78">
        <v>3</v>
      </c>
      <c r="S446" s="75">
        <v>8.1999999999999993</v>
      </c>
      <c r="T446" s="78">
        <v>6.1</v>
      </c>
      <c r="U446" s="78">
        <v>7.4</v>
      </c>
      <c r="V446" s="167">
        <f>ROUND((R446*N442+T446*L442+Q446*D442),4)</f>
        <v>14.961</v>
      </c>
      <c r="W446" s="168">
        <f>ROUND((S446*0.9*O442+U446*0.9*L442+Q446*D442),4)</f>
        <v>47.246600000000001</v>
      </c>
      <c r="X446" s="168">
        <f>ROUND((S446*P442+U446*L442+Q446*D442),4)</f>
        <v>166.97399999999999</v>
      </c>
      <c r="Y446" s="168">
        <f>ROUND((T446*M442+Q446*E442),4)</f>
        <v>2.9609999999999999</v>
      </c>
      <c r="Z446" s="168">
        <f>ROUND((U446*0.9*M442+Q446*E442),4)</f>
        <v>2.9666000000000001</v>
      </c>
      <c r="AA446" s="168">
        <f>ROUND((U446*M442+Q446*E442),4)</f>
        <v>2.9740000000000002</v>
      </c>
      <c r="AB446" s="168">
        <f>ROUND((H442*(V446+Y446)*G442*I442/1000000),4)</f>
        <v>3.2000000000000002E-3</v>
      </c>
      <c r="AC446" s="168">
        <f>ROUND((H442*(W446+Z446)*G442*J442/1000000),4)</f>
        <v>4.4999999999999997E-3</v>
      </c>
      <c r="AD446" s="168">
        <f>ROUND((H442*(X446+AA446)*G442*K442/1000000),4)</f>
        <v>1.61E-2</v>
      </c>
      <c r="AE446" s="73" t="s">
        <v>65</v>
      </c>
      <c r="AF446" s="74" t="s">
        <v>66</v>
      </c>
      <c r="AG446" s="75">
        <f>ROUND(((X446*F442/3600)),4)</f>
        <v>4.6399999999999997E-2</v>
      </c>
      <c r="AH446" s="75">
        <f>AB446+AC446+AD446</f>
        <v>2.3800000000000002E-2</v>
      </c>
    </row>
    <row r="447" spans="1:36" ht="12.95" customHeight="1" x14ac:dyDescent="0.25">
      <c r="A447" s="573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70"/>
      <c r="M447" s="70"/>
      <c r="N447" s="69"/>
      <c r="O447" s="69"/>
      <c r="P447" s="69"/>
      <c r="Q447" s="75">
        <v>0.04</v>
      </c>
      <c r="R447" s="78">
        <v>0.04</v>
      </c>
      <c r="S447" s="75">
        <v>0.16</v>
      </c>
      <c r="T447" s="78">
        <v>0.3</v>
      </c>
      <c r="U447" s="78">
        <v>0.4</v>
      </c>
      <c r="V447" s="167">
        <f>ROUND((R447*N442+T447*L442+Q447*D442),4)</f>
        <v>0.20300000000000001</v>
      </c>
      <c r="W447" s="168">
        <f>ROUND((S447*0.9*O442+U447*0.9*L442+Q447*D442),4)</f>
        <v>0.90759999999999996</v>
      </c>
      <c r="X447" s="168">
        <f>ROUND((S447*P442+U447*L442+Q447*D442),4)</f>
        <v>3.2440000000000002</v>
      </c>
      <c r="Y447" s="168">
        <f>ROUND((T447*M442+Q447*E442),4)</f>
        <v>4.2999999999999997E-2</v>
      </c>
      <c r="Z447" s="168">
        <f>ROUND((U447*0.9*M442+Q447*E442),4)</f>
        <v>4.36E-2</v>
      </c>
      <c r="AA447" s="168">
        <f>ROUND((U447*M442+Q447*E442),4)</f>
        <v>4.3999999999999997E-2</v>
      </c>
      <c r="AB447" s="168">
        <f>ROUND((H442*(V447+Y447)*G442*I442/1000000),5)</f>
        <v>4.0000000000000003E-5</v>
      </c>
      <c r="AC447" s="168">
        <f>ROUND((H442*(W447+Z447)*G442*J442/1000000),5)</f>
        <v>9.0000000000000006E-5</v>
      </c>
      <c r="AD447" s="168">
        <f>ROUND((H442*(X447+AA447)*G442*K442/1000000),4)</f>
        <v>2.9999999999999997E-4</v>
      </c>
      <c r="AE447" s="73" t="s">
        <v>213</v>
      </c>
      <c r="AF447" s="74" t="s">
        <v>62</v>
      </c>
      <c r="AG447" s="75">
        <f>ROUND(((X447*F442/3600)),4)</f>
        <v>8.9999999999999998E-4</v>
      </c>
      <c r="AH447" s="75">
        <f>AB447+AC447+AD447</f>
        <v>4.2999999999999999E-4</v>
      </c>
      <c r="AI447" s="61">
        <f>SUM(AG442:AG447)</f>
        <v>6.4899999999999999E-2</v>
      </c>
      <c r="AJ447" s="61">
        <f>SUM(AH442:AH447)</f>
        <v>3.3920000000000006E-2</v>
      </c>
    </row>
    <row r="448" spans="1:36" ht="12.95" customHeight="1" x14ac:dyDescent="0.25">
      <c r="A448" s="1522" t="s">
        <v>696</v>
      </c>
      <c r="B448" s="1523"/>
      <c r="C448" s="1523"/>
      <c r="D448" s="1523"/>
      <c r="E448" s="1523"/>
      <c r="F448" s="1523"/>
      <c r="G448" s="1523"/>
      <c r="H448" s="1523"/>
      <c r="I448" s="1523"/>
      <c r="J448" s="1523"/>
      <c r="K448" s="1523"/>
      <c r="L448" s="1523"/>
      <c r="M448" s="1523"/>
      <c r="N448" s="1523"/>
      <c r="O448" s="1523"/>
      <c r="P448" s="1523"/>
      <c r="Q448" s="1523"/>
      <c r="R448" s="1523"/>
      <c r="S448" s="1523"/>
      <c r="T448" s="1524"/>
      <c r="U448" s="1524"/>
      <c r="V448" s="1523"/>
      <c r="W448" s="1523"/>
      <c r="X448" s="1523"/>
      <c r="Y448" s="1523"/>
      <c r="Z448" s="1523"/>
      <c r="AA448" s="1523"/>
      <c r="AB448" s="1523"/>
      <c r="AC448" s="1523"/>
      <c r="AD448" s="1523"/>
      <c r="AE448" s="1523"/>
      <c r="AF448" s="1523"/>
      <c r="AG448" s="1523"/>
      <c r="AH448" s="1525"/>
    </row>
    <row r="449" spans="1:36" ht="12.95" customHeight="1" x14ac:dyDescent="0.25">
      <c r="A449" s="506" t="s">
        <v>544</v>
      </c>
      <c r="B449" s="71" t="s">
        <v>211</v>
      </c>
      <c r="C449" s="1128" t="s">
        <v>444</v>
      </c>
      <c r="D449" s="65">
        <v>1</v>
      </c>
      <c r="E449" s="65">
        <v>1</v>
      </c>
      <c r="F449" s="65">
        <v>1</v>
      </c>
      <c r="G449" s="65">
        <v>1</v>
      </c>
      <c r="H449" s="65">
        <f>ROUND((F449/G449),2)</f>
        <v>1</v>
      </c>
      <c r="I449" s="65">
        <v>180</v>
      </c>
      <c r="J449" s="65">
        <v>90</v>
      </c>
      <c r="K449" s="66">
        <v>95</v>
      </c>
      <c r="L449" s="66">
        <v>0.01</v>
      </c>
      <c r="M449" s="66">
        <v>0.01</v>
      </c>
      <c r="N449" s="65">
        <v>4</v>
      </c>
      <c r="O449" s="65">
        <v>6</v>
      </c>
      <c r="P449" s="65">
        <v>20</v>
      </c>
      <c r="Q449" s="65">
        <v>1</v>
      </c>
      <c r="R449" s="72">
        <v>1</v>
      </c>
      <c r="S449" s="65">
        <v>2</v>
      </c>
      <c r="T449" s="72">
        <v>4</v>
      </c>
      <c r="U449" s="72">
        <v>4</v>
      </c>
      <c r="V449" s="108">
        <f>ROUND((R449*N449+T449*L449+Q449*D449),4)</f>
        <v>5.04</v>
      </c>
      <c r="W449" s="109">
        <f>ROUND((S449*O449+U449*L449+Q449*D449),4)</f>
        <v>13.04</v>
      </c>
      <c r="X449" s="109">
        <f>ROUND((S449*P449+U449*L449+Q449*D449),4)</f>
        <v>41.04</v>
      </c>
      <c r="Y449" s="109">
        <f>ROUND((T449*M449+Q449*E449),4)</f>
        <v>1.04</v>
      </c>
      <c r="Z449" s="109">
        <f>ROUND((U449*M449+Q449*E449),4)</f>
        <v>1.04</v>
      </c>
      <c r="AA449" s="109">
        <f>ROUND((U449*M449+Q449*E449),4)</f>
        <v>1.04</v>
      </c>
      <c r="AB449" s="109">
        <f>ROUND((H449*(V449+Y449)*G449*I449/1000000),4)</f>
        <v>1.1000000000000001E-3</v>
      </c>
      <c r="AC449" s="109">
        <f>ROUND((H449*(W449+Z449)*G449*J449/1000000),4)</f>
        <v>1.2999999999999999E-3</v>
      </c>
      <c r="AD449" s="109">
        <f>ROUND((H449*(X449+AA449)*G449*K449/1000000),4)</f>
        <v>4.0000000000000001E-3</v>
      </c>
      <c r="AE449" s="73" t="s">
        <v>48</v>
      </c>
      <c r="AF449" s="74" t="s">
        <v>49</v>
      </c>
      <c r="AG449" s="75">
        <f>ROUND(((X449*F449/3600)*0.8),4)</f>
        <v>9.1000000000000004E-3</v>
      </c>
      <c r="AH449" s="75">
        <f>ROUND(((AB449+AC449+AD449)*0.8),4)</f>
        <v>5.1000000000000004E-3</v>
      </c>
    </row>
    <row r="450" spans="1:36" ht="12.95" customHeight="1" x14ac:dyDescent="0.25">
      <c r="A450" s="570" t="s">
        <v>166</v>
      </c>
      <c r="B450" s="67" t="s">
        <v>212</v>
      </c>
      <c r="C450" s="1129"/>
      <c r="D450" s="67"/>
      <c r="E450" s="67"/>
      <c r="F450" s="67"/>
      <c r="G450" s="67"/>
      <c r="H450" s="67"/>
      <c r="I450" s="67"/>
      <c r="J450" s="67"/>
      <c r="K450" s="67"/>
      <c r="L450" s="68"/>
      <c r="M450" s="68"/>
      <c r="N450" s="67"/>
      <c r="O450" s="67"/>
      <c r="P450" s="67"/>
      <c r="Q450" s="69"/>
      <c r="R450" s="69"/>
      <c r="S450" s="70"/>
      <c r="T450" s="69"/>
      <c r="U450" s="69"/>
      <c r="V450" s="110"/>
      <c r="W450" s="111"/>
      <c r="X450" s="111"/>
      <c r="Y450" s="111"/>
      <c r="Z450" s="111"/>
      <c r="AA450" s="111"/>
      <c r="AB450" s="111"/>
      <c r="AC450" s="111"/>
      <c r="AD450" s="111"/>
      <c r="AE450" s="73" t="s">
        <v>51</v>
      </c>
      <c r="AF450" s="74" t="s">
        <v>52</v>
      </c>
      <c r="AG450" s="75">
        <f>ROUND(((X449*F449/3600)*0.13),4)</f>
        <v>1.5E-3</v>
      </c>
      <c r="AH450" s="75">
        <f>ROUND(((AB449+AC449+AD449)*0.13),4)</f>
        <v>8.0000000000000004E-4</v>
      </c>
    </row>
    <row r="451" spans="1:36" ht="12.95" customHeight="1" x14ac:dyDescent="0.25">
      <c r="A451" s="571"/>
      <c r="B451" s="76" t="s">
        <v>491</v>
      </c>
      <c r="C451" s="76"/>
      <c r="D451" s="67"/>
      <c r="E451" s="67"/>
      <c r="F451" s="67"/>
      <c r="G451" s="67"/>
      <c r="H451" s="67"/>
      <c r="I451" s="67"/>
      <c r="J451" s="67"/>
      <c r="K451" s="67"/>
      <c r="L451" s="68"/>
      <c r="M451" s="68"/>
      <c r="N451" s="67"/>
      <c r="O451" s="67"/>
      <c r="P451" s="67"/>
      <c r="Q451" s="75">
        <v>0.1</v>
      </c>
      <c r="R451" s="78">
        <v>0.113</v>
      </c>
      <c r="S451" s="79">
        <v>0.13600000000000001</v>
      </c>
      <c r="T451" s="78">
        <v>0.54</v>
      </c>
      <c r="U451" s="78">
        <v>0.67</v>
      </c>
      <c r="V451" s="108">
        <f>ROUND((R451*N449+T451*L449+Q451*D449),4)</f>
        <v>0.55740000000000001</v>
      </c>
      <c r="W451" s="109">
        <f>ROUND((S451*0.9*O449+U451*0.9*L449+Q451*D449),4)</f>
        <v>0.84040000000000004</v>
      </c>
      <c r="X451" s="109">
        <f>ROUND((S451*P449+U451*L449+Q451*D449),4)</f>
        <v>2.8267000000000002</v>
      </c>
      <c r="Y451" s="109">
        <f>ROUND((T451*M449+Q451*E449),4)</f>
        <v>0.10539999999999999</v>
      </c>
      <c r="Z451" s="109">
        <f>ROUND((U451*0.9*M449+Q451*E449),4)</f>
        <v>0.106</v>
      </c>
      <c r="AA451" s="109">
        <f>ROUND((U451*M449+Q451*E449),4)</f>
        <v>0.1067</v>
      </c>
      <c r="AB451" s="109">
        <f>ROUND((H449*(V451+Y451)*G449*I449/1000000),5)</f>
        <v>1.2E-4</v>
      </c>
      <c r="AC451" s="109">
        <f>ROUND((H449*(W451+Z451)*G449*J449/1000000),5)</f>
        <v>9.0000000000000006E-5</v>
      </c>
      <c r="AD451" s="109">
        <f>ROUND((H449*(X451+AA451)*G449*K449/1000000),5)</f>
        <v>2.7999999999999998E-4</v>
      </c>
      <c r="AE451" s="73" t="s">
        <v>56</v>
      </c>
      <c r="AF451" s="74" t="s">
        <v>57</v>
      </c>
      <c r="AG451" s="75">
        <f>ROUND(((X451*F449/3600)),4)</f>
        <v>8.0000000000000004E-4</v>
      </c>
      <c r="AH451" s="75">
        <f>AB451+AC451+AD451</f>
        <v>4.8999999999999998E-4</v>
      </c>
    </row>
    <row r="452" spans="1:36" ht="12.95" customHeight="1" x14ac:dyDescent="0.25">
      <c r="A452" s="571"/>
      <c r="B452" s="132"/>
      <c r="C452" s="67"/>
      <c r="D452" s="67"/>
      <c r="E452" s="67"/>
      <c r="F452" s="67"/>
      <c r="G452" s="67"/>
      <c r="H452" s="67"/>
      <c r="I452" s="67"/>
      <c r="J452" s="67"/>
      <c r="K452" s="67"/>
      <c r="L452" s="68"/>
      <c r="M452" s="68"/>
      <c r="N452" s="67"/>
      <c r="O452" s="67"/>
      <c r="P452" s="67"/>
      <c r="Q452" s="75">
        <v>0.45</v>
      </c>
      <c r="R452" s="78">
        <v>0.4</v>
      </c>
      <c r="S452" s="75">
        <v>1.1000000000000001</v>
      </c>
      <c r="T452" s="78">
        <v>1</v>
      </c>
      <c r="U452" s="78">
        <v>1.2</v>
      </c>
      <c r="V452" s="108">
        <f>ROUND((R452*N449+T452*L449+Q452*D449),4)</f>
        <v>2.06</v>
      </c>
      <c r="W452" s="109">
        <f>ROUND((S452*0.9*O449+U452*0.9*L449+Q452*D449),4)</f>
        <v>6.4008000000000003</v>
      </c>
      <c r="X452" s="109">
        <f>ROUND((S452*P449+U452*L449+Q452*D449),4)</f>
        <v>22.462</v>
      </c>
      <c r="Y452" s="109">
        <f>ROUND((T452*M449+Q452*E449),4)</f>
        <v>0.46</v>
      </c>
      <c r="Z452" s="109">
        <f>ROUND((U452*0.9*M449+Q452*E449),4)</f>
        <v>0.46079999999999999</v>
      </c>
      <c r="AA452" s="109">
        <f>ROUND((U452*M449+Q452*E449),4)</f>
        <v>0.46200000000000002</v>
      </c>
      <c r="AB452" s="109">
        <f>ROUND((H449*(V452+Y452)*G449*I449/1000000),4)</f>
        <v>5.0000000000000001E-4</v>
      </c>
      <c r="AC452" s="109">
        <f>ROUND((H449*(W452+Z452)*G449*J449/1000000),4)</f>
        <v>5.9999999999999995E-4</v>
      </c>
      <c r="AD452" s="109">
        <f>ROUND((H449*(X452+AA452)*G449*K449/1000000),4)</f>
        <v>2.2000000000000001E-3</v>
      </c>
      <c r="AE452" s="73" t="s">
        <v>177</v>
      </c>
      <c r="AF452" s="74" t="s">
        <v>178</v>
      </c>
      <c r="AG452" s="75">
        <f>ROUND(((X452*F449/3600)),4)</f>
        <v>6.1999999999999998E-3</v>
      </c>
      <c r="AH452" s="75">
        <f>AB452+AC452+AD452</f>
        <v>3.3E-3</v>
      </c>
    </row>
    <row r="453" spans="1:36" ht="12.95" customHeight="1" x14ac:dyDescent="0.25">
      <c r="A453" s="572"/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8"/>
      <c r="M453" s="68"/>
      <c r="N453" s="67"/>
      <c r="O453" s="67"/>
      <c r="P453" s="67"/>
      <c r="Q453" s="75">
        <v>2.9</v>
      </c>
      <c r="R453" s="78">
        <v>3</v>
      </c>
      <c r="S453" s="75">
        <v>8.1999999999999993</v>
      </c>
      <c r="T453" s="78">
        <v>6.1</v>
      </c>
      <c r="U453" s="78">
        <v>7.4</v>
      </c>
      <c r="V453" s="167">
        <f>ROUND((R453*N449+T453*L449+Q453*D449),4)</f>
        <v>14.961</v>
      </c>
      <c r="W453" s="168">
        <f>ROUND((S453*0.9*O449+U453*0.9*L449+Q453*D449),4)</f>
        <v>47.246600000000001</v>
      </c>
      <c r="X453" s="168">
        <f>ROUND((S453*P449+U453*L449+Q453*D449),4)</f>
        <v>166.97399999999999</v>
      </c>
      <c r="Y453" s="168">
        <f>ROUND((T453*M449+Q453*E449),4)</f>
        <v>2.9609999999999999</v>
      </c>
      <c r="Z453" s="168">
        <f>ROUND((U453*0.9*M449+Q453*E449),4)</f>
        <v>2.9666000000000001</v>
      </c>
      <c r="AA453" s="168">
        <f>ROUND((U453*M449+Q453*E449),4)</f>
        <v>2.9740000000000002</v>
      </c>
      <c r="AB453" s="168">
        <f>ROUND((H449*(V453+Y453)*G449*I449/1000000),4)</f>
        <v>3.2000000000000002E-3</v>
      </c>
      <c r="AC453" s="168">
        <f>ROUND((H449*(W453+Z453)*G449*J449/1000000),4)</f>
        <v>4.4999999999999997E-3</v>
      </c>
      <c r="AD453" s="168">
        <f>ROUND((H449*(X453+AA453)*G449*K449/1000000),4)</f>
        <v>1.61E-2</v>
      </c>
      <c r="AE453" s="73" t="s">
        <v>65</v>
      </c>
      <c r="AF453" s="74" t="s">
        <v>66</v>
      </c>
      <c r="AG453" s="75">
        <f>ROUND(((X453*F449/3600)),4)</f>
        <v>4.6399999999999997E-2</v>
      </c>
      <c r="AH453" s="75">
        <f>AB453+AC453+AD453</f>
        <v>2.3800000000000002E-2</v>
      </c>
    </row>
    <row r="454" spans="1:36" ht="12.95" customHeight="1" x14ac:dyDescent="0.25">
      <c r="A454" s="573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70"/>
      <c r="M454" s="70"/>
      <c r="N454" s="69"/>
      <c r="O454" s="69"/>
      <c r="P454" s="69"/>
      <c r="Q454" s="75">
        <v>0.04</v>
      </c>
      <c r="R454" s="78">
        <v>0.04</v>
      </c>
      <c r="S454" s="75">
        <v>0.16</v>
      </c>
      <c r="T454" s="78">
        <v>0.3</v>
      </c>
      <c r="U454" s="78">
        <v>0.4</v>
      </c>
      <c r="V454" s="167">
        <f>ROUND((R454*N449+T454*L449+Q454*D449),4)</f>
        <v>0.20300000000000001</v>
      </c>
      <c r="W454" s="168">
        <f>ROUND((S454*0.9*O449+U454*0.9*L449+Q454*D449),4)</f>
        <v>0.90759999999999996</v>
      </c>
      <c r="X454" s="168">
        <f>ROUND((S454*P449+U454*L449+Q454*D449),4)</f>
        <v>3.2440000000000002</v>
      </c>
      <c r="Y454" s="168">
        <f>ROUND((T454*M449+Q454*E449),4)</f>
        <v>4.2999999999999997E-2</v>
      </c>
      <c r="Z454" s="168">
        <f>ROUND((U454*0.9*M449+Q454*E449),4)</f>
        <v>4.36E-2</v>
      </c>
      <c r="AA454" s="168">
        <f>ROUND((U454*M449+Q454*E449),4)</f>
        <v>4.3999999999999997E-2</v>
      </c>
      <c r="AB454" s="168">
        <f>ROUND((H449*(V454+Y454)*G449*I449/1000000),5)</f>
        <v>4.0000000000000003E-5</v>
      </c>
      <c r="AC454" s="168">
        <f>ROUND((H449*(W454+Z454)*G449*J449/1000000),5)</f>
        <v>9.0000000000000006E-5</v>
      </c>
      <c r="AD454" s="168">
        <f>ROUND((H449*(X454+AA454)*G449*K449/1000000),4)</f>
        <v>2.9999999999999997E-4</v>
      </c>
      <c r="AE454" s="73" t="s">
        <v>213</v>
      </c>
      <c r="AF454" s="74" t="s">
        <v>62</v>
      </c>
      <c r="AG454" s="75">
        <f>ROUND(((X454*F449/3600)),4)</f>
        <v>8.9999999999999998E-4</v>
      </c>
      <c r="AH454" s="75">
        <f>AB454+AC454+AD454</f>
        <v>4.2999999999999999E-4</v>
      </c>
      <c r="AI454" s="61">
        <f>SUM(AG449:AG454)</f>
        <v>6.4899999999999999E-2</v>
      </c>
      <c r="AJ454" s="61">
        <f>SUM(AH449:AH454)</f>
        <v>3.3920000000000006E-2</v>
      </c>
    </row>
    <row r="455" spans="1:36" ht="12.95" customHeight="1" x14ac:dyDescent="0.25">
      <c r="A455" s="1522" t="s">
        <v>697</v>
      </c>
      <c r="B455" s="1523"/>
      <c r="C455" s="1523"/>
      <c r="D455" s="1523"/>
      <c r="E455" s="1523"/>
      <c r="F455" s="1523"/>
      <c r="G455" s="1523"/>
      <c r="H455" s="1523"/>
      <c r="I455" s="1523"/>
      <c r="J455" s="1523"/>
      <c r="K455" s="1523"/>
      <c r="L455" s="1523"/>
      <c r="M455" s="1523"/>
      <c r="N455" s="1523"/>
      <c r="O455" s="1523"/>
      <c r="P455" s="1523"/>
      <c r="Q455" s="1523"/>
      <c r="R455" s="1523"/>
      <c r="S455" s="1523"/>
      <c r="T455" s="1524"/>
      <c r="U455" s="1524"/>
      <c r="V455" s="1523"/>
      <c r="W455" s="1523"/>
      <c r="X455" s="1523"/>
      <c r="Y455" s="1523"/>
      <c r="Z455" s="1523"/>
      <c r="AA455" s="1523"/>
      <c r="AB455" s="1523"/>
      <c r="AC455" s="1523"/>
      <c r="AD455" s="1523"/>
      <c r="AE455" s="1523"/>
      <c r="AF455" s="1523"/>
      <c r="AG455" s="1523"/>
      <c r="AH455" s="1525"/>
    </row>
    <row r="456" spans="1:36" ht="12.95" customHeight="1" x14ac:dyDescent="0.25">
      <c r="A456" s="506" t="s">
        <v>553</v>
      </c>
      <c r="B456" s="71" t="s">
        <v>211</v>
      </c>
      <c r="C456" s="1128" t="s">
        <v>444</v>
      </c>
      <c r="D456" s="65">
        <v>1</v>
      </c>
      <c r="E456" s="65">
        <v>1</v>
      </c>
      <c r="F456" s="65">
        <v>1</v>
      </c>
      <c r="G456" s="65">
        <v>1</v>
      </c>
      <c r="H456" s="65">
        <f>ROUND((F456/G456),2)</f>
        <v>1</v>
      </c>
      <c r="I456" s="65">
        <v>180</v>
      </c>
      <c r="J456" s="65">
        <v>90</v>
      </c>
      <c r="K456" s="66">
        <v>95</v>
      </c>
      <c r="L456" s="66">
        <v>0.01</v>
      </c>
      <c r="M456" s="66">
        <v>0.01</v>
      </c>
      <c r="N456" s="65">
        <v>4</v>
      </c>
      <c r="O456" s="65">
        <v>6</v>
      </c>
      <c r="P456" s="65">
        <v>20</v>
      </c>
      <c r="Q456" s="65">
        <v>1</v>
      </c>
      <c r="R456" s="72">
        <v>1</v>
      </c>
      <c r="S456" s="65">
        <v>2</v>
      </c>
      <c r="T456" s="72">
        <v>4</v>
      </c>
      <c r="U456" s="72">
        <v>4</v>
      </c>
      <c r="V456" s="108">
        <f>ROUND((R456*N456+T456*L456+Q456*D456),4)</f>
        <v>5.04</v>
      </c>
      <c r="W456" s="109">
        <f>ROUND((S456*O456+U456*L456+Q456*D456),4)</f>
        <v>13.04</v>
      </c>
      <c r="X456" s="109">
        <f>ROUND((S456*P456+U456*L456+Q456*D456),4)</f>
        <v>41.04</v>
      </c>
      <c r="Y456" s="109">
        <f>ROUND((T456*M456+Q456*E456),4)</f>
        <v>1.04</v>
      </c>
      <c r="Z456" s="109">
        <f>ROUND((U456*M456+Q456*E456),4)</f>
        <v>1.04</v>
      </c>
      <c r="AA456" s="109">
        <f>ROUND((U456*M456+Q456*E456),4)</f>
        <v>1.04</v>
      </c>
      <c r="AB456" s="109">
        <f>ROUND((H456*(V456+Y456)*G456*I456/1000000),4)</f>
        <v>1.1000000000000001E-3</v>
      </c>
      <c r="AC456" s="109">
        <f>ROUND((H456*(W456+Z456)*G456*J456/1000000),4)</f>
        <v>1.2999999999999999E-3</v>
      </c>
      <c r="AD456" s="109">
        <f>ROUND((H456*(X456+AA456)*G456*K456/1000000),4)</f>
        <v>4.0000000000000001E-3</v>
      </c>
      <c r="AE456" s="73" t="s">
        <v>48</v>
      </c>
      <c r="AF456" s="74" t="s">
        <v>49</v>
      </c>
      <c r="AG456" s="75">
        <f>ROUND(((X456*F456/3600)*0.8),4)</f>
        <v>9.1000000000000004E-3</v>
      </c>
      <c r="AH456" s="75">
        <f>ROUND(((AB456+AC456+AD456)*0.8),4)</f>
        <v>5.1000000000000004E-3</v>
      </c>
    </row>
    <row r="457" spans="1:36" ht="12.95" customHeight="1" x14ac:dyDescent="0.25">
      <c r="A457" s="570" t="s">
        <v>166</v>
      </c>
      <c r="B457" s="67" t="s">
        <v>212</v>
      </c>
      <c r="C457" s="1129"/>
      <c r="D457" s="67"/>
      <c r="E457" s="67"/>
      <c r="F457" s="67"/>
      <c r="G457" s="67"/>
      <c r="H457" s="67"/>
      <c r="I457" s="67"/>
      <c r="J457" s="67"/>
      <c r="K457" s="67"/>
      <c r="L457" s="68"/>
      <c r="M457" s="68"/>
      <c r="N457" s="67"/>
      <c r="O457" s="67"/>
      <c r="P457" s="67"/>
      <c r="Q457" s="69"/>
      <c r="R457" s="69"/>
      <c r="S457" s="70"/>
      <c r="T457" s="69"/>
      <c r="U457" s="69"/>
      <c r="V457" s="110"/>
      <c r="W457" s="111"/>
      <c r="X457" s="111"/>
      <c r="Y457" s="111"/>
      <c r="Z457" s="111"/>
      <c r="AA457" s="111"/>
      <c r="AB457" s="111"/>
      <c r="AC457" s="111"/>
      <c r="AD457" s="111"/>
      <c r="AE457" s="73" t="s">
        <v>51</v>
      </c>
      <c r="AF457" s="74" t="s">
        <v>52</v>
      </c>
      <c r="AG457" s="75">
        <f>ROUND(((X456*F456/3600)*0.13),4)</f>
        <v>1.5E-3</v>
      </c>
      <c r="AH457" s="75">
        <f>ROUND(((AB456+AC456+AD456)*0.13),4)</f>
        <v>8.0000000000000004E-4</v>
      </c>
    </row>
    <row r="458" spans="1:36" ht="12.95" customHeight="1" x14ac:dyDescent="0.25">
      <c r="A458" s="571"/>
      <c r="B458" s="76" t="s">
        <v>491</v>
      </c>
      <c r="C458" s="76"/>
      <c r="D458" s="67"/>
      <c r="E458" s="67"/>
      <c r="F458" s="67"/>
      <c r="G458" s="67"/>
      <c r="H458" s="67"/>
      <c r="I458" s="67"/>
      <c r="J458" s="67"/>
      <c r="K458" s="67"/>
      <c r="L458" s="68"/>
      <c r="M458" s="68"/>
      <c r="N458" s="67"/>
      <c r="O458" s="67"/>
      <c r="P458" s="67"/>
      <c r="Q458" s="75">
        <v>0.1</v>
      </c>
      <c r="R458" s="78">
        <v>0.113</v>
      </c>
      <c r="S458" s="79">
        <v>0.13600000000000001</v>
      </c>
      <c r="T458" s="78">
        <v>0.54</v>
      </c>
      <c r="U458" s="78">
        <v>0.67</v>
      </c>
      <c r="V458" s="108">
        <f>ROUND((R458*N456+T458*L456+Q458*D456),4)</f>
        <v>0.55740000000000001</v>
      </c>
      <c r="W458" s="109">
        <f>ROUND((S458*0.9*O456+U458*0.9*L456+Q458*D456),4)</f>
        <v>0.84040000000000004</v>
      </c>
      <c r="X458" s="109">
        <f>ROUND((S458*P456+U458*L456+Q458*D456),4)</f>
        <v>2.8267000000000002</v>
      </c>
      <c r="Y458" s="109">
        <f>ROUND((T458*M456+Q458*E456),4)</f>
        <v>0.10539999999999999</v>
      </c>
      <c r="Z458" s="109">
        <f>ROUND((U458*0.9*M456+Q458*E456),4)</f>
        <v>0.106</v>
      </c>
      <c r="AA458" s="109">
        <f>ROUND((U458*M456+Q458*E456),4)</f>
        <v>0.1067</v>
      </c>
      <c r="AB458" s="109">
        <f>ROUND((H456*(V458+Y458)*G456*I456/1000000),5)</f>
        <v>1.2E-4</v>
      </c>
      <c r="AC458" s="109">
        <f>ROUND((H456*(W458+Z458)*G456*J456/1000000),5)</f>
        <v>9.0000000000000006E-5</v>
      </c>
      <c r="AD458" s="109">
        <f>ROUND((H456*(X458+AA458)*G456*K456/1000000),5)</f>
        <v>2.7999999999999998E-4</v>
      </c>
      <c r="AE458" s="73" t="s">
        <v>56</v>
      </c>
      <c r="AF458" s="74" t="s">
        <v>57</v>
      </c>
      <c r="AG458" s="75">
        <f>ROUND(((X458*F456/3600)),4)</f>
        <v>8.0000000000000004E-4</v>
      </c>
      <c r="AH458" s="75">
        <f>AB458+AC458+AD458</f>
        <v>4.8999999999999998E-4</v>
      </c>
    </row>
    <row r="459" spans="1:36" ht="12.95" customHeight="1" x14ac:dyDescent="0.25">
      <c r="A459" s="571"/>
      <c r="B459" s="132"/>
      <c r="C459" s="67"/>
      <c r="D459" s="67"/>
      <c r="E459" s="67"/>
      <c r="F459" s="67"/>
      <c r="G459" s="67"/>
      <c r="H459" s="67"/>
      <c r="I459" s="67"/>
      <c r="J459" s="67"/>
      <c r="K459" s="67"/>
      <c r="L459" s="68"/>
      <c r="M459" s="68"/>
      <c r="N459" s="67"/>
      <c r="O459" s="67"/>
      <c r="P459" s="67"/>
      <c r="Q459" s="75">
        <v>0.45</v>
      </c>
      <c r="R459" s="78">
        <v>0.4</v>
      </c>
      <c r="S459" s="75">
        <v>1.1000000000000001</v>
      </c>
      <c r="T459" s="78">
        <v>1</v>
      </c>
      <c r="U459" s="78">
        <v>1.2</v>
      </c>
      <c r="V459" s="108">
        <f>ROUND((R459*N456+T459*L456+Q459*D456),4)</f>
        <v>2.06</v>
      </c>
      <c r="W459" s="109">
        <f>ROUND((S459*0.9*O456+U459*0.9*L456+Q459*D456),4)</f>
        <v>6.4008000000000003</v>
      </c>
      <c r="X459" s="109">
        <f>ROUND((S459*P456+U459*L456+Q459*D456),4)</f>
        <v>22.462</v>
      </c>
      <c r="Y459" s="109">
        <f>ROUND((T459*M456+Q459*E456),4)</f>
        <v>0.46</v>
      </c>
      <c r="Z459" s="109">
        <f>ROUND((U459*0.9*M456+Q459*E456),4)</f>
        <v>0.46079999999999999</v>
      </c>
      <c r="AA459" s="109">
        <f>ROUND((U459*M456+Q459*E456),4)</f>
        <v>0.46200000000000002</v>
      </c>
      <c r="AB459" s="109">
        <f>ROUND((H456*(V459+Y459)*G456*I456/1000000),4)</f>
        <v>5.0000000000000001E-4</v>
      </c>
      <c r="AC459" s="109">
        <f>ROUND((H456*(W459+Z459)*G456*J456/1000000),4)</f>
        <v>5.9999999999999995E-4</v>
      </c>
      <c r="AD459" s="109">
        <f>ROUND((H456*(X459+AA459)*G456*K456/1000000),4)</f>
        <v>2.2000000000000001E-3</v>
      </c>
      <c r="AE459" s="73" t="s">
        <v>177</v>
      </c>
      <c r="AF459" s="74" t="s">
        <v>178</v>
      </c>
      <c r="AG459" s="75">
        <f>ROUND(((X459*F456/3600)),4)</f>
        <v>6.1999999999999998E-3</v>
      </c>
      <c r="AH459" s="75">
        <f>AB459+AC459+AD459</f>
        <v>3.3E-3</v>
      </c>
    </row>
    <row r="460" spans="1:36" ht="12.95" customHeight="1" x14ac:dyDescent="0.25">
      <c r="A460" s="572"/>
      <c r="B460" s="67"/>
      <c r="C460" s="67"/>
      <c r="D460" s="67"/>
      <c r="E460" s="67"/>
      <c r="F460" s="67"/>
      <c r="G460" s="67"/>
      <c r="H460" s="67"/>
      <c r="I460" s="67"/>
      <c r="J460" s="67"/>
      <c r="K460" s="67"/>
      <c r="L460" s="68"/>
      <c r="M460" s="68"/>
      <c r="N460" s="67"/>
      <c r="O460" s="67"/>
      <c r="P460" s="67"/>
      <c r="Q460" s="75">
        <v>2.9</v>
      </c>
      <c r="R460" s="78">
        <v>3</v>
      </c>
      <c r="S460" s="75">
        <v>8.1999999999999993</v>
      </c>
      <c r="T460" s="78">
        <v>6.1</v>
      </c>
      <c r="U460" s="78">
        <v>7.4</v>
      </c>
      <c r="V460" s="167">
        <f>ROUND((R460*N456+T460*L456+Q460*D456),4)</f>
        <v>14.961</v>
      </c>
      <c r="W460" s="168">
        <f>ROUND((S460*0.9*O456+U460*0.9*L456+Q460*D456),4)</f>
        <v>47.246600000000001</v>
      </c>
      <c r="X460" s="168">
        <f>ROUND((S460*P456+U460*L456+Q460*D456),4)</f>
        <v>166.97399999999999</v>
      </c>
      <c r="Y460" s="168">
        <f>ROUND((T460*M456+Q460*E456),4)</f>
        <v>2.9609999999999999</v>
      </c>
      <c r="Z460" s="168">
        <f>ROUND((U460*0.9*M456+Q460*E456),4)</f>
        <v>2.9666000000000001</v>
      </c>
      <c r="AA460" s="168">
        <f>ROUND((U460*M456+Q460*E456),4)</f>
        <v>2.9740000000000002</v>
      </c>
      <c r="AB460" s="168">
        <f>ROUND((H456*(V460+Y460)*G456*I456/1000000),4)</f>
        <v>3.2000000000000002E-3</v>
      </c>
      <c r="AC460" s="168">
        <f>ROUND((H456*(W460+Z460)*G456*J456/1000000),4)</f>
        <v>4.4999999999999997E-3</v>
      </c>
      <c r="AD460" s="168">
        <f>ROUND((H456*(X460+AA460)*G456*K456/1000000),4)</f>
        <v>1.61E-2</v>
      </c>
      <c r="AE460" s="73" t="s">
        <v>65</v>
      </c>
      <c r="AF460" s="74" t="s">
        <v>66</v>
      </c>
      <c r="AG460" s="75">
        <f>ROUND(((X460*F456/3600)),4)</f>
        <v>4.6399999999999997E-2</v>
      </c>
      <c r="AH460" s="75">
        <f>AB460+AC460+AD460</f>
        <v>2.3800000000000002E-2</v>
      </c>
    </row>
    <row r="461" spans="1:36" ht="12.95" customHeight="1" x14ac:dyDescent="0.25">
      <c r="A461" s="573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70"/>
      <c r="M461" s="70"/>
      <c r="N461" s="69"/>
      <c r="O461" s="69"/>
      <c r="P461" s="69"/>
      <c r="Q461" s="75">
        <v>0.04</v>
      </c>
      <c r="R461" s="78">
        <v>0.04</v>
      </c>
      <c r="S461" s="75">
        <v>0.16</v>
      </c>
      <c r="T461" s="78">
        <v>0.3</v>
      </c>
      <c r="U461" s="78">
        <v>0.4</v>
      </c>
      <c r="V461" s="167">
        <f>ROUND((R461*N456+T461*L456+Q461*D456),4)</f>
        <v>0.20300000000000001</v>
      </c>
      <c r="W461" s="168">
        <f>ROUND((S461*0.9*O456+U461*0.9*L456+Q461*D456),4)</f>
        <v>0.90759999999999996</v>
      </c>
      <c r="X461" s="168">
        <f>ROUND((S461*P456+U461*L456+Q461*D456),4)</f>
        <v>3.2440000000000002</v>
      </c>
      <c r="Y461" s="168">
        <f>ROUND((T461*M456+Q461*E456),4)</f>
        <v>4.2999999999999997E-2</v>
      </c>
      <c r="Z461" s="168">
        <f>ROUND((U461*0.9*M456+Q461*E456),4)</f>
        <v>4.36E-2</v>
      </c>
      <c r="AA461" s="168">
        <f>ROUND((U461*M456+Q461*E456),4)</f>
        <v>4.3999999999999997E-2</v>
      </c>
      <c r="AB461" s="168">
        <f>ROUND((H456*(V461+Y461)*G456*I456/1000000),5)</f>
        <v>4.0000000000000003E-5</v>
      </c>
      <c r="AC461" s="168">
        <f>ROUND((H456*(W461+Z461)*G456*J456/1000000),5)</f>
        <v>9.0000000000000006E-5</v>
      </c>
      <c r="AD461" s="168">
        <f>ROUND((H456*(X461+AA461)*G456*K456/1000000),4)</f>
        <v>2.9999999999999997E-4</v>
      </c>
      <c r="AE461" s="73" t="s">
        <v>213</v>
      </c>
      <c r="AF461" s="74" t="s">
        <v>62</v>
      </c>
      <c r="AG461" s="75">
        <f>ROUND(((X461*F456/3600)),4)</f>
        <v>8.9999999999999998E-4</v>
      </c>
      <c r="AH461" s="75">
        <f>AB461+AC461+AD461</f>
        <v>4.2999999999999999E-4</v>
      </c>
      <c r="AI461" s="61">
        <f>SUM(AG456:AG461)</f>
        <v>6.4899999999999999E-2</v>
      </c>
      <c r="AJ461" s="61">
        <f>SUM(AH456:AH461)</f>
        <v>3.3920000000000006E-2</v>
      </c>
    </row>
    <row r="462" spans="1:36" ht="12.95" customHeight="1" x14ac:dyDescent="0.25">
      <c r="A462" s="1522" t="s">
        <v>698</v>
      </c>
      <c r="B462" s="1523"/>
      <c r="C462" s="1523"/>
      <c r="D462" s="1523"/>
      <c r="E462" s="1523"/>
      <c r="F462" s="1523"/>
      <c r="G462" s="1523"/>
      <c r="H462" s="1523"/>
      <c r="I462" s="1523"/>
      <c r="J462" s="1523"/>
      <c r="K462" s="1523"/>
      <c r="L462" s="1523"/>
      <c r="M462" s="1523"/>
      <c r="N462" s="1523"/>
      <c r="O462" s="1523"/>
      <c r="P462" s="1523"/>
      <c r="Q462" s="1523"/>
      <c r="R462" s="1523"/>
      <c r="S462" s="1523"/>
      <c r="T462" s="1524"/>
      <c r="U462" s="1524"/>
      <c r="V462" s="1523"/>
      <c r="W462" s="1523"/>
      <c r="X462" s="1523"/>
      <c r="Y462" s="1523"/>
      <c r="Z462" s="1523"/>
      <c r="AA462" s="1523"/>
      <c r="AB462" s="1523"/>
      <c r="AC462" s="1523"/>
      <c r="AD462" s="1523"/>
      <c r="AE462" s="1523"/>
      <c r="AF462" s="1523"/>
      <c r="AG462" s="1523"/>
      <c r="AH462" s="1525"/>
    </row>
    <row r="463" spans="1:36" ht="12.95" customHeight="1" x14ac:dyDescent="0.25">
      <c r="A463" s="506" t="s">
        <v>557</v>
      </c>
      <c r="B463" s="71" t="s">
        <v>211</v>
      </c>
      <c r="C463" s="1128" t="s">
        <v>444</v>
      </c>
      <c r="D463" s="65">
        <v>1</v>
      </c>
      <c r="E463" s="65">
        <v>1</v>
      </c>
      <c r="F463" s="65">
        <v>1</v>
      </c>
      <c r="G463" s="65">
        <v>1</v>
      </c>
      <c r="H463" s="65">
        <f>ROUND((F463/G463),2)</f>
        <v>1</v>
      </c>
      <c r="I463" s="65">
        <v>180</v>
      </c>
      <c r="J463" s="65">
        <v>90</v>
      </c>
      <c r="K463" s="66">
        <v>95</v>
      </c>
      <c r="L463" s="66">
        <v>0.01</v>
      </c>
      <c r="M463" s="66">
        <v>0.01</v>
      </c>
      <c r="N463" s="65">
        <v>4</v>
      </c>
      <c r="O463" s="65">
        <v>6</v>
      </c>
      <c r="P463" s="65">
        <v>20</v>
      </c>
      <c r="Q463" s="65">
        <v>1</v>
      </c>
      <c r="R463" s="72">
        <v>1</v>
      </c>
      <c r="S463" s="65">
        <v>2</v>
      </c>
      <c r="T463" s="72">
        <v>4</v>
      </c>
      <c r="U463" s="72">
        <v>4</v>
      </c>
      <c r="V463" s="108">
        <f>ROUND((R463*N463+T463*L463+Q463*D463),4)</f>
        <v>5.04</v>
      </c>
      <c r="W463" s="109">
        <f>ROUND((S463*O463+U463*L463+Q463*D463),4)</f>
        <v>13.04</v>
      </c>
      <c r="X463" s="109">
        <f>ROUND((S463*P463+U463*L463+Q463*D463),4)</f>
        <v>41.04</v>
      </c>
      <c r="Y463" s="109">
        <f>ROUND((T463*M463+Q463*E463),4)</f>
        <v>1.04</v>
      </c>
      <c r="Z463" s="109">
        <f>ROUND((U463*M463+Q463*E463),4)</f>
        <v>1.04</v>
      </c>
      <c r="AA463" s="109">
        <f>ROUND((U463*M463+Q463*E463),4)</f>
        <v>1.04</v>
      </c>
      <c r="AB463" s="109">
        <f>ROUND((H463*(V463+Y463)*G463*I463/1000000),4)</f>
        <v>1.1000000000000001E-3</v>
      </c>
      <c r="AC463" s="109">
        <f>ROUND((H463*(W463+Z463)*G463*J463/1000000),4)</f>
        <v>1.2999999999999999E-3</v>
      </c>
      <c r="AD463" s="109">
        <f>ROUND((H463*(X463+AA463)*G463*K463/1000000),4)</f>
        <v>4.0000000000000001E-3</v>
      </c>
      <c r="AE463" s="73" t="s">
        <v>48</v>
      </c>
      <c r="AF463" s="74" t="s">
        <v>49</v>
      </c>
      <c r="AG463" s="75">
        <f>ROUND(((X463*F463/3600)*0.8),4)</f>
        <v>9.1000000000000004E-3</v>
      </c>
      <c r="AH463" s="75">
        <f>ROUND(((AB463+AC463+AD463)*0.8),4)</f>
        <v>5.1000000000000004E-3</v>
      </c>
    </row>
    <row r="464" spans="1:36" ht="12.95" customHeight="1" x14ac:dyDescent="0.25">
      <c r="A464" s="570" t="s">
        <v>166</v>
      </c>
      <c r="B464" s="67" t="s">
        <v>212</v>
      </c>
      <c r="C464" s="1129"/>
      <c r="D464" s="67"/>
      <c r="E464" s="67"/>
      <c r="F464" s="67"/>
      <c r="G464" s="67"/>
      <c r="H464" s="67"/>
      <c r="I464" s="67"/>
      <c r="J464" s="67"/>
      <c r="K464" s="67"/>
      <c r="L464" s="68"/>
      <c r="M464" s="68"/>
      <c r="N464" s="67"/>
      <c r="O464" s="67"/>
      <c r="P464" s="67"/>
      <c r="Q464" s="69"/>
      <c r="R464" s="69"/>
      <c r="S464" s="70"/>
      <c r="T464" s="69"/>
      <c r="U464" s="69"/>
      <c r="V464" s="110"/>
      <c r="W464" s="111"/>
      <c r="X464" s="111"/>
      <c r="Y464" s="111"/>
      <c r="Z464" s="111"/>
      <c r="AA464" s="111"/>
      <c r="AB464" s="111"/>
      <c r="AC464" s="111"/>
      <c r="AD464" s="111"/>
      <c r="AE464" s="73" t="s">
        <v>51</v>
      </c>
      <c r="AF464" s="74" t="s">
        <v>52</v>
      </c>
      <c r="AG464" s="75">
        <f>ROUND(((X463*F463/3600)*0.13),4)</f>
        <v>1.5E-3</v>
      </c>
      <c r="AH464" s="75">
        <f>ROUND(((AB463+AC463+AD463)*0.13),4)</f>
        <v>8.0000000000000004E-4</v>
      </c>
    </row>
    <row r="465" spans="1:36" ht="12.95" customHeight="1" x14ac:dyDescent="0.25">
      <c r="A465" s="571"/>
      <c r="B465" s="76" t="s">
        <v>491</v>
      </c>
      <c r="C465" s="76"/>
      <c r="D465" s="67"/>
      <c r="E465" s="67"/>
      <c r="F465" s="67"/>
      <c r="G465" s="67"/>
      <c r="H465" s="67"/>
      <c r="I465" s="67"/>
      <c r="J465" s="67"/>
      <c r="K465" s="67"/>
      <c r="L465" s="68"/>
      <c r="M465" s="68"/>
      <c r="N465" s="67"/>
      <c r="O465" s="67"/>
      <c r="P465" s="67"/>
      <c r="Q465" s="75">
        <v>0.1</v>
      </c>
      <c r="R465" s="78">
        <v>0.113</v>
      </c>
      <c r="S465" s="79">
        <v>0.13600000000000001</v>
      </c>
      <c r="T465" s="78">
        <v>0.54</v>
      </c>
      <c r="U465" s="78">
        <v>0.67</v>
      </c>
      <c r="V465" s="108">
        <f>ROUND((R465*N463+T465*L463+Q465*D463),4)</f>
        <v>0.55740000000000001</v>
      </c>
      <c r="W465" s="109">
        <f>ROUND((S465*0.9*O463+U465*0.9*L463+Q465*D463),4)</f>
        <v>0.84040000000000004</v>
      </c>
      <c r="X465" s="109">
        <f>ROUND((S465*P463+U465*L463+Q465*D463),4)</f>
        <v>2.8267000000000002</v>
      </c>
      <c r="Y465" s="109">
        <f>ROUND((T465*M463+Q465*E463),4)</f>
        <v>0.10539999999999999</v>
      </c>
      <c r="Z465" s="109">
        <f>ROUND((U465*0.9*M463+Q465*E463),4)</f>
        <v>0.106</v>
      </c>
      <c r="AA465" s="109">
        <f>ROUND((U465*M463+Q465*E463),4)</f>
        <v>0.1067</v>
      </c>
      <c r="AB465" s="109">
        <f>ROUND((H463*(V465+Y465)*G463*I463/1000000),5)</f>
        <v>1.2E-4</v>
      </c>
      <c r="AC465" s="109">
        <f>ROUND((H463*(W465+Z465)*G463*J463/1000000),5)</f>
        <v>9.0000000000000006E-5</v>
      </c>
      <c r="AD465" s="109">
        <f>ROUND((H463*(X465+AA465)*G463*K463/1000000),5)</f>
        <v>2.7999999999999998E-4</v>
      </c>
      <c r="AE465" s="73" t="s">
        <v>56</v>
      </c>
      <c r="AF465" s="74" t="s">
        <v>57</v>
      </c>
      <c r="AG465" s="75">
        <f>ROUND(((X465*F463/3600)),4)</f>
        <v>8.0000000000000004E-4</v>
      </c>
      <c r="AH465" s="75">
        <f>AB465+AC465+AD465</f>
        <v>4.8999999999999998E-4</v>
      </c>
    </row>
    <row r="466" spans="1:36" ht="12.95" customHeight="1" x14ac:dyDescent="0.25">
      <c r="A466" s="571"/>
      <c r="B466" s="132"/>
      <c r="C466" s="67"/>
      <c r="D466" s="67"/>
      <c r="E466" s="67"/>
      <c r="F466" s="67"/>
      <c r="G466" s="67"/>
      <c r="H466" s="67"/>
      <c r="I466" s="67"/>
      <c r="J466" s="67"/>
      <c r="K466" s="67"/>
      <c r="L466" s="68"/>
      <c r="M466" s="68"/>
      <c r="N466" s="67"/>
      <c r="O466" s="67"/>
      <c r="P466" s="67"/>
      <c r="Q466" s="75">
        <v>0.45</v>
      </c>
      <c r="R466" s="78">
        <v>0.4</v>
      </c>
      <c r="S466" s="75">
        <v>1.1000000000000001</v>
      </c>
      <c r="T466" s="78">
        <v>1</v>
      </c>
      <c r="U466" s="78">
        <v>1.2</v>
      </c>
      <c r="V466" s="108">
        <f>ROUND((R466*N463+T466*L463+Q466*D463),4)</f>
        <v>2.06</v>
      </c>
      <c r="W466" s="109">
        <f>ROUND((S466*0.9*O463+U466*0.9*L463+Q466*D463),4)</f>
        <v>6.4008000000000003</v>
      </c>
      <c r="X466" s="109">
        <f>ROUND((S466*P463+U466*L463+Q466*D463),4)</f>
        <v>22.462</v>
      </c>
      <c r="Y466" s="109">
        <f>ROUND((T466*M463+Q466*E463),4)</f>
        <v>0.46</v>
      </c>
      <c r="Z466" s="109">
        <f>ROUND((U466*0.9*M463+Q466*E463),4)</f>
        <v>0.46079999999999999</v>
      </c>
      <c r="AA466" s="109">
        <f>ROUND((U466*M463+Q466*E463),4)</f>
        <v>0.46200000000000002</v>
      </c>
      <c r="AB466" s="109">
        <f>ROUND((H463*(V466+Y466)*G463*I463/1000000),4)</f>
        <v>5.0000000000000001E-4</v>
      </c>
      <c r="AC466" s="109">
        <f>ROUND((H463*(W466+Z466)*G463*J463/1000000),4)</f>
        <v>5.9999999999999995E-4</v>
      </c>
      <c r="AD466" s="109">
        <f>ROUND((H463*(X466+AA466)*G463*K463/1000000),4)</f>
        <v>2.2000000000000001E-3</v>
      </c>
      <c r="AE466" s="73" t="s">
        <v>177</v>
      </c>
      <c r="AF466" s="74" t="s">
        <v>178</v>
      </c>
      <c r="AG466" s="75">
        <f>ROUND(((X466*F463/3600)),4)</f>
        <v>6.1999999999999998E-3</v>
      </c>
      <c r="AH466" s="75">
        <f>AB466+AC466+AD466</f>
        <v>3.3E-3</v>
      </c>
    </row>
    <row r="467" spans="1:36" ht="12.95" customHeight="1" x14ac:dyDescent="0.25">
      <c r="A467" s="572"/>
      <c r="B467" s="67"/>
      <c r="C467" s="67"/>
      <c r="D467" s="67"/>
      <c r="E467" s="67"/>
      <c r="F467" s="67"/>
      <c r="G467" s="67"/>
      <c r="H467" s="67"/>
      <c r="I467" s="67"/>
      <c r="J467" s="67"/>
      <c r="K467" s="67"/>
      <c r="L467" s="68"/>
      <c r="M467" s="68"/>
      <c r="N467" s="67"/>
      <c r="O467" s="67"/>
      <c r="P467" s="67"/>
      <c r="Q467" s="75">
        <v>2.9</v>
      </c>
      <c r="R467" s="78">
        <v>3</v>
      </c>
      <c r="S467" s="75">
        <v>8.1999999999999993</v>
      </c>
      <c r="T467" s="78">
        <v>6.1</v>
      </c>
      <c r="U467" s="78">
        <v>7.4</v>
      </c>
      <c r="V467" s="167">
        <f>ROUND((R467*N463+T467*L463+Q467*D463),4)</f>
        <v>14.961</v>
      </c>
      <c r="W467" s="168">
        <f>ROUND((S467*0.9*O463+U467*0.9*L463+Q467*D463),4)</f>
        <v>47.246600000000001</v>
      </c>
      <c r="X467" s="168">
        <f>ROUND((S467*P463+U467*L463+Q467*D463),4)</f>
        <v>166.97399999999999</v>
      </c>
      <c r="Y467" s="168">
        <f>ROUND((T467*M463+Q467*E463),4)</f>
        <v>2.9609999999999999</v>
      </c>
      <c r="Z467" s="168">
        <f>ROUND((U467*0.9*M463+Q467*E463),4)</f>
        <v>2.9666000000000001</v>
      </c>
      <c r="AA467" s="168">
        <f>ROUND((U467*M463+Q467*E463),4)</f>
        <v>2.9740000000000002</v>
      </c>
      <c r="AB467" s="168">
        <f>ROUND((H463*(V467+Y467)*G463*I463/1000000),4)</f>
        <v>3.2000000000000002E-3</v>
      </c>
      <c r="AC467" s="168">
        <f>ROUND((H463*(W467+Z467)*G463*J463/1000000),4)</f>
        <v>4.4999999999999997E-3</v>
      </c>
      <c r="AD467" s="168">
        <f>ROUND((H463*(X467+AA467)*G463*K463/1000000),4)</f>
        <v>1.61E-2</v>
      </c>
      <c r="AE467" s="73" t="s">
        <v>65</v>
      </c>
      <c r="AF467" s="74" t="s">
        <v>66</v>
      </c>
      <c r="AG467" s="75">
        <f>ROUND(((X467*F463/3600)),4)</f>
        <v>4.6399999999999997E-2</v>
      </c>
      <c r="AH467" s="75">
        <f>AB467+AC467+AD467</f>
        <v>2.3800000000000002E-2</v>
      </c>
    </row>
    <row r="468" spans="1:36" ht="12.95" customHeight="1" x14ac:dyDescent="0.25">
      <c r="A468" s="573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70"/>
      <c r="M468" s="70"/>
      <c r="N468" s="69"/>
      <c r="O468" s="69"/>
      <c r="P468" s="69"/>
      <c r="Q468" s="75">
        <v>0.04</v>
      </c>
      <c r="R468" s="78">
        <v>0.04</v>
      </c>
      <c r="S468" s="75">
        <v>0.16</v>
      </c>
      <c r="T468" s="78">
        <v>0.3</v>
      </c>
      <c r="U468" s="78">
        <v>0.4</v>
      </c>
      <c r="V468" s="167">
        <f>ROUND((R468*N463+T468*L463+Q468*D463),4)</f>
        <v>0.20300000000000001</v>
      </c>
      <c r="W468" s="168">
        <f>ROUND((S468*0.9*O463+U468*0.9*L463+Q468*D463),4)</f>
        <v>0.90759999999999996</v>
      </c>
      <c r="X468" s="168">
        <f>ROUND((S468*P463+U468*L463+Q468*D463),4)</f>
        <v>3.2440000000000002</v>
      </c>
      <c r="Y468" s="168">
        <f>ROUND((T468*M463+Q468*E463),4)</f>
        <v>4.2999999999999997E-2</v>
      </c>
      <c r="Z468" s="168">
        <f>ROUND((U468*0.9*M463+Q468*E463),4)</f>
        <v>4.36E-2</v>
      </c>
      <c r="AA468" s="168">
        <f>ROUND((U468*M463+Q468*E463),4)</f>
        <v>4.3999999999999997E-2</v>
      </c>
      <c r="AB468" s="168">
        <f>ROUND((H463*(V468+Y468)*G463*I463/1000000),5)</f>
        <v>4.0000000000000003E-5</v>
      </c>
      <c r="AC468" s="168">
        <f>ROUND((H463*(W468+Z468)*G463*J463/1000000),5)</f>
        <v>9.0000000000000006E-5</v>
      </c>
      <c r="AD468" s="168">
        <f>ROUND((H463*(X468+AA468)*G463*K463/1000000),4)</f>
        <v>2.9999999999999997E-4</v>
      </c>
      <c r="AE468" s="73" t="s">
        <v>213</v>
      </c>
      <c r="AF468" s="74" t="s">
        <v>62</v>
      </c>
      <c r="AG468" s="75">
        <f>ROUND(((X468*F463/3600)),4)</f>
        <v>8.9999999999999998E-4</v>
      </c>
      <c r="AH468" s="75">
        <f>AB468+AC468+AD468</f>
        <v>4.2999999999999999E-4</v>
      </c>
      <c r="AI468" s="61">
        <f>SUM(AG463:AG468)</f>
        <v>6.4899999999999999E-2</v>
      </c>
      <c r="AJ468" s="61">
        <f>SUM(AH463:AH468)</f>
        <v>3.3920000000000006E-2</v>
      </c>
    </row>
    <row r="469" spans="1:36" ht="12.95" customHeight="1" x14ac:dyDescent="0.25">
      <c r="A469" s="1522" t="s">
        <v>699</v>
      </c>
      <c r="B469" s="1523"/>
      <c r="C469" s="1523"/>
      <c r="D469" s="1523"/>
      <c r="E469" s="1523"/>
      <c r="F469" s="1523"/>
      <c r="G469" s="1523"/>
      <c r="H469" s="1523"/>
      <c r="I469" s="1523"/>
      <c r="J469" s="1523"/>
      <c r="K469" s="1523"/>
      <c r="L469" s="1523"/>
      <c r="M469" s="1523"/>
      <c r="N469" s="1523"/>
      <c r="O469" s="1523"/>
      <c r="P469" s="1523"/>
      <c r="Q469" s="1523"/>
      <c r="R469" s="1523"/>
      <c r="S469" s="1523"/>
      <c r="T469" s="1524"/>
      <c r="U469" s="1524"/>
      <c r="V469" s="1523"/>
      <c r="W469" s="1523"/>
      <c r="X469" s="1523"/>
      <c r="Y469" s="1523"/>
      <c r="Z469" s="1523"/>
      <c r="AA469" s="1523"/>
      <c r="AB469" s="1523"/>
      <c r="AC469" s="1523"/>
      <c r="AD469" s="1523"/>
      <c r="AE469" s="1523"/>
      <c r="AF469" s="1523"/>
      <c r="AG469" s="1523"/>
      <c r="AH469" s="1525"/>
    </row>
    <row r="470" spans="1:36" ht="12.95" customHeight="1" x14ac:dyDescent="0.25">
      <c r="A470" s="506" t="s">
        <v>576</v>
      </c>
      <c r="B470" s="71" t="s">
        <v>211</v>
      </c>
      <c r="C470" s="1128" t="s">
        <v>444</v>
      </c>
      <c r="D470" s="65">
        <v>1</v>
      </c>
      <c r="E470" s="65">
        <v>1</v>
      </c>
      <c r="F470" s="65">
        <v>1</v>
      </c>
      <c r="G470" s="65">
        <v>1</v>
      </c>
      <c r="H470" s="65">
        <f>ROUND((F470/G470),2)</f>
        <v>1</v>
      </c>
      <c r="I470" s="65">
        <v>173</v>
      </c>
      <c r="J470" s="65">
        <v>0</v>
      </c>
      <c r="K470" s="66">
        <v>0</v>
      </c>
      <c r="L470" s="66">
        <v>0.01</v>
      </c>
      <c r="M470" s="66">
        <v>0.01</v>
      </c>
      <c r="N470" s="65">
        <v>4</v>
      </c>
      <c r="O470" s="65">
        <v>6</v>
      </c>
      <c r="P470" s="65">
        <v>20</v>
      </c>
      <c r="Q470" s="65">
        <v>1</v>
      </c>
      <c r="R470" s="72">
        <v>1</v>
      </c>
      <c r="S470" s="65">
        <v>2</v>
      </c>
      <c r="T470" s="72">
        <v>4</v>
      </c>
      <c r="U470" s="72">
        <v>4</v>
      </c>
      <c r="V470" s="108">
        <f>ROUND((R470*N470+T470*L470+Q470*D470),4)</f>
        <v>5.04</v>
      </c>
      <c r="W470" s="109">
        <f>ROUND((S470*O470+U470*L470+Q470*D470),4)</f>
        <v>13.04</v>
      </c>
      <c r="X470" s="109">
        <f>ROUND((S470*P470+U470*L470+Q470*D470),4)</f>
        <v>41.04</v>
      </c>
      <c r="Y470" s="109">
        <f>ROUND((T470*M470+Q470*E470),4)</f>
        <v>1.04</v>
      </c>
      <c r="Z470" s="109">
        <f>ROUND((U470*M470+Q470*E470),4)</f>
        <v>1.04</v>
      </c>
      <c r="AA470" s="109">
        <f>ROUND((U470*M470+Q470*E470),4)</f>
        <v>1.04</v>
      </c>
      <c r="AB470" s="109">
        <f>ROUND((H470*(V470+Y470)*G470*I470/1000000),4)</f>
        <v>1.1000000000000001E-3</v>
      </c>
      <c r="AC470" s="109">
        <f>ROUND((H470*(W470+Z470)*G470*J470/1000000),4)</f>
        <v>0</v>
      </c>
      <c r="AD470" s="109">
        <f>ROUND((H470*(X470+AA470)*G470*K470/1000000),4)</f>
        <v>0</v>
      </c>
      <c r="AE470" s="73" t="s">
        <v>48</v>
      </c>
      <c r="AF470" s="74" t="s">
        <v>49</v>
      </c>
      <c r="AG470" s="75">
        <f>ROUND(((X470*F470/3600)*0.8),4)</f>
        <v>9.1000000000000004E-3</v>
      </c>
      <c r="AH470" s="75">
        <f>ROUND(((AB470+AC470+AD470)*0.8),4)</f>
        <v>8.9999999999999998E-4</v>
      </c>
    </row>
    <row r="471" spans="1:36" ht="12.95" customHeight="1" x14ac:dyDescent="0.25">
      <c r="A471" s="570" t="s">
        <v>166</v>
      </c>
      <c r="B471" s="67" t="s">
        <v>212</v>
      </c>
      <c r="C471" s="1129"/>
      <c r="D471" s="67"/>
      <c r="E471" s="67"/>
      <c r="F471" s="67"/>
      <c r="G471" s="67"/>
      <c r="H471" s="67"/>
      <c r="I471" s="67"/>
      <c r="J471" s="67"/>
      <c r="K471" s="67"/>
      <c r="L471" s="68"/>
      <c r="M471" s="68"/>
      <c r="N471" s="67"/>
      <c r="O471" s="67"/>
      <c r="P471" s="67"/>
      <c r="Q471" s="69"/>
      <c r="R471" s="69"/>
      <c r="S471" s="70"/>
      <c r="T471" s="69"/>
      <c r="U471" s="69"/>
      <c r="V471" s="110"/>
      <c r="W471" s="111"/>
      <c r="X471" s="111"/>
      <c r="Y471" s="111"/>
      <c r="Z471" s="111"/>
      <c r="AA471" s="111"/>
      <c r="AB471" s="111"/>
      <c r="AC471" s="111"/>
      <c r="AD471" s="111"/>
      <c r="AE471" s="73" t="s">
        <v>51</v>
      </c>
      <c r="AF471" s="74" t="s">
        <v>52</v>
      </c>
      <c r="AG471" s="75">
        <f>ROUND(((X470*F470/3600)*0.13),4)</f>
        <v>1.5E-3</v>
      </c>
      <c r="AH471" s="75">
        <f>ROUND(((AB470+AC470+AD470)*0.13),4)</f>
        <v>1E-4</v>
      </c>
    </row>
    <row r="472" spans="1:36" ht="12.95" customHeight="1" x14ac:dyDescent="0.25">
      <c r="A472" s="571"/>
      <c r="B472" s="76" t="s">
        <v>491</v>
      </c>
      <c r="C472" s="76"/>
      <c r="D472" s="67"/>
      <c r="E472" s="67"/>
      <c r="F472" s="67"/>
      <c r="G472" s="67"/>
      <c r="H472" s="67"/>
      <c r="I472" s="67"/>
      <c r="J472" s="67"/>
      <c r="K472" s="67"/>
      <c r="L472" s="68"/>
      <c r="M472" s="68"/>
      <c r="N472" s="67"/>
      <c r="O472" s="67"/>
      <c r="P472" s="67"/>
      <c r="Q472" s="75">
        <v>0.1</v>
      </c>
      <c r="R472" s="78">
        <v>0.113</v>
      </c>
      <c r="S472" s="79">
        <v>0.13600000000000001</v>
      </c>
      <c r="T472" s="78">
        <v>0.54</v>
      </c>
      <c r="U472" s="78">
        <v>0.67</v>
      </c>
      <c r="V472" s="108">
        <f>ROUND((R472*N470+T472*L470+Q472*D470),4)</f>
        <v>0.55740000000000001</v>
      </c>
      <c r="W472" s="109">
        <f>ROUND((S472*0.9*O470+U472*0.9*L470+Q472*D470),4)</f>
        <v>0.84040000000000004</v>
      </c>
      <c r="X472" s="109">
        <f>ROUND((S472*P470+U472*L470+Q472*D470),4)</f>
        <v>2.8267000000000002</v>
      </c>
      <c r="Y472" s="109">
        <f>ROUND((T472*M470+Q472*E470),4)</f>
        <v>0.10539999999999999</v>
      </c>
      <c r="Z472" s="109">
        <f>ROUND((U472*0.9*M470+Q472*E470),4)</f>
        <v>0.106</v>
      </c>
      <c r="AA472" s="109">
        <f>ROUND((U472*M470+Q472*E470),4)</f>
        <v>0.1067</v>
      </c>
      <c r="AB472" s="109">
        <f>ROUND((H470*(V472+Y472)*G470*I470/1000000),5)</f>
        <v>1.1E-4</v>
      </c>
      <c r="AC472" s="109">
        <f>ROUND((H470*(W472+Z472)*G470*J470/1000000),5)</f>
        <v>0</v>
      </c>
      <c r="AD472" s="109">
        <f>ROUND((H470*(X472+AA472)*G470*K470/1000000),5)</f>
        <v>0</v>
      </c>
      <c r="AE472" s="73" t="s">
        <v>56</v>
      </c>
      <c r="AF472" s="74" t="s">
        <v>57</v>
      </c>
      <c r="AG472" s="75">
        <f>ROUND(((X472*F470/3600)),4)</f>
        <v>8.0000000000000004E-4</v>
      </c>
      <c r="AH472" s="75">
        <f>AB472+AC472+AD472</f>
        <v>1.1E-4</v>
      </c>
    </row>
    <row r="473" spans="1:36" ht="12.95" customHeight="1" x14ac:dyDescent="0.25">
      <c r="A473" s="571"/>
      <c r="B473" s="132"/>
      <c r="C473" s="67"/>
      <c r="D473" s="67"/>
      <c r="E473" s="67"/>
      <c r="F473" s="67"/>
      <c r="G473" s="67"/>
      <c r="H473" s="67"/>
      <c r="I473" s="67"/>
      <c r="J473" s="67"/>
      <c r="K473" s="67"/>
      <c r="L473" s="68"/>
      <c r="M473" s="68"/>
      <c r="N473" s="67"/>
      <c r="O473" s="67"/>
      <c r="P473" s="67"/>
      <c r="Q473" s="75">
        <v>0.45</v>
      </c>
      <c r="R473" s="78">
        <v>0.4</v>
      </c>
      <c r="S473" s="75">
        <v>1.1000000000000001</v>
      </c>
      <c r="T473" s="78">
        <v>1</v>
      </c>
      <c r="U473" s="78">
        <v>1.2</v>
      </c>
      <c r="V473" s="108">
        <f>ROUND((R473*N470+T473*L470+Q473*D470),4)</f>
        <v>2.06</v>
      </c>
      <c r="W473" s="109">
        <f>ROUND((S473*0.9*O470+U473*0.9*L470+Q473*D470),4)</f>
        <v>6.4008000000000003</v>
      </c>
      <c r="X473" s="109">
        <f>ROUND((S473*P470+U473*L470+Q473*D470),4)</f>
        <v>22.462</v>
      </c>
      <c r="Y473" s="109">
        <f>ROUND((T473*M470+Q473*E470),4)</f>
        <v>0.46</v>
      </c>
      <c r="Z473" s="109">
        <f>ROUND((U473*0.9*M470+Q473*E470),4)</f>
        <v>0.46079999999999999</v>
      </c>
      <c r="AA473" s="109">
        <f>ROUND((U473*M470+Q473*E470),4)</f>
        <v>0.46200000000000002</v>
      </c>
      <c r="AB473" s="109">
        <f>ROUND((H470*(V473+Y473)*G470*I470/1000000),4)</f>
        <v>4.0000000000000002E-4</v>
      </c>
      <c r="AC473" s="109">
        <f>ROUND((H470*(W473+Z473)*G470*J470/1000000),4)</f>
        <v>0</v>
      </c>
      <c r="AD473" s="109">
        <f>ROUND((H470*(X473+AA473)*G470*K470/1000000),4)</f>
        <v>0</v>
      </c>
      <c r="AE473" s="73" t="s">
        <v>177</v>
      </c>
      <c r="AF473" s="74" t="s">
        <v>178</v>
      </c>
      <c r="AG473" s="75">
        <f>ROUND(((X473*F470/3600)),4)</f>
        <v>6.1999999999999998E-3</v>
      </c>
      <c r="AH473" s="75">
        <f>AB473+AC473+AD473</f>
        <v>4.0000000000000002E-4</v>
      </c>
    </row>
    <row r="474" spans="1:36" ht="12.95" customHeight="1" x14ac:dyDescent="0.25">
      <c r="A474" s="572"/>
      <c r="B474" s="67"/>
      <c r="C474" s="67"/>
      <c r="D474" s="67"/>
      <c r="E474" s="67"/>
      <c r="F474" s="67"/>
      <c r="G474" s="67"/>
      <c r="H474" s="67"/>
      <c r="I474" s="67"/>
      <c r="J474" s="67"/>
      <c r="K474" s="67"/>
      <c r="L474" s="68"/>
      <c r="M474" s="68"/>
      <c r="N474" s="67"/>
      <c r="O474" s="67"/>
      <c r="P474" s="67"/>
      <c r="Q474" s="75">
        <v>2.9</v>
      </c>
      <c r="R474" s="78">
        <v>3</v>
      </c>
      <c r="S474" s="75">
        <v>8.1999999999999993</v>
      </c>
      <c r="T474" s="78">
        <v>6.1</v>
      </c>
      <c r="U474" s="78">
        <v>7.4</v>
      </c>
      <c r="V474" s="167">
        <f>ROUND((R474*N470+T474*L470+Q474*D470),4)</f>
        <v>14.961</v>
      </c>
      <c r="W474" s="168">
        <f>ROUND((S474*0.9*O470+U474*0.9*L470+Q474*D470),4)</f>
        <v>47.246600000000001</v>
      </c>
      <c r="X474" s="168">
        <f>ROUND((S474*P470+U474*L470+Q474*D470),4)</f>
        <v>166.97399999999999</v>
      </c>
      <c r="Y474" s="168">
        <f>ROUND((T474*M470+Q474*E470),4)</f>
        <v>2.9609999999999999</v>
      </c>
      <c r="Z474" s="168">
        <f>ROUND((U474*0.9*M470+Q474*E470),4)</f>
        <v>2.9666000000000001</v>
      </c>
      <c r="AA474" s="168">
        <f>ROUND((U474*M470+Q474*E470),4)</f>
        <v>2.9740000000000002</v>
      </c>
      <c r="AB474" s="168">
        <f>ROUND((H470*(V474+Y474)*G470*I470/1000000),4)</f>
        <v>3.0999999999999999E-3</v>
      </c>
      <c r="AC474" s="168">
        <f>ROUND((H470*(W474+Z474)*G470*J470/1000000),4)</f>
        <v>0</v>
      </c>
      <c r="AD474" s="168">
        <f>ROUND((H470*(X474+AA474)*G470*K470/1000000),4)</f>
        <v>0</v>
      </c>
      <c r="AE474" s="73" t="s">
        <v>65</v>
      </c>
      <c r="AF474" s="74" t="s">
        <v>66</v>
      </c>
      <c r="AG474" s="75">
        <f>ROUND(((X474*F470/3600)),4)</f>
        <v>4.6399999999999997E-2</v>
      </c>
      <c r="AH474" s="75">
        <f>AB474+AC474+AD474</f>
        <v>3.0999999999999999E-3</v>
      </c>
    </row>
    <row r="475" spans="1:36" ht="12.95" customHeight="1" x14ac:dyDescent="0.25">
      <c r="A475" s="573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70"/>
      <c r="M475" s="70"/>
      <c r="N475" s="69"/>
      <c r="O475" s="69"/>
      <c r="P475" s="69"/>
      <c r="Q475" s="75">
        <v>0.04</v>
      </c>
      <c r="R475" s="78">
        <v>0.04</v>
      </c>
      <c r="S475" s="75">
        <v>0.16</v>
      </c>
      <c r="T475" s="78">
        <v>0.3</v>
      </c>
      <c r="U475" s="78">
        <v>0.4</v>
      </c>
      <c r="V475" s="167">
        <f>ROUND((R475*N470+T475*L470+Q475*D470),4)</f>
        <v>0.20300000000000001</v>
      </c>
      <c r="W475" s="168">
        <f>ROUND((S475*0.9*O470+U475*0.9*L470+Q475*D470),4)</f>
        <v>0.90759999999999996</v>
      </c>
      <c r="X475" s="168">
        <f>ROUND((S475*P470+U475*L470+Q475*D470),4)</f>
        <v>3.2440000000000002</v>
      </c>
      <c r="Y475" s="168">
        <f>ROUND((T475*M470+Q475*E470),4)</f>
        <v>4.2999999999999997E-2</v>
      </c>
      <c r="Z475" s="168">
        <f>ROUND((U475*0.9*M470+Q475*E470),4)</f>
        <v>4.36E-2</v>
      </c>
      <c r="AA475" s="168">
        <f>ROUND((U475*M470+Q475*E470),4)</f>
        <v>4.3999999999999997E-2</v>
      </c>
      <c r="AB475" s="168">
        <f>ROUND((H470*(V475+Y475)*G470*I470/1000000),5)</f>
        <v>4.0000000000000003E-5</v>
      </c>
      <c r="AC475" s="168">
        <f>ROUND((H470*(W475+Z475)*G470*J470/1000000),5)</f>
        <v>0</v>
      </c>
      <c r="AD475" s="168">
        <f>ROUND((H470*(X475+AA475)*G470*K470/1000000),4)</f>
        <v>0</v>
      </c>
      <c r="AE475" s="73" t="s">
        <v>213</v>
      </c>
      <c r="AF475" s="74" t="s">
        <v>62</v>
      </c>
      <c r="AG475" s="75">
        <f>ROUND(((X475*F470/3600)),4)</f>
        <v>8.9999999999999998E-4</v>
      </c>
      <c r="AH475" s="75">
        <f>AB475+AC475+AD475</f>
        <v>4.0000000000000003E-5</v>
      </c>
      <c r="AI475" s="61">
        <f>SUM(AG470:AG475)</f>
        <v>6.4899999999999999E-2</v>
      </c>
      <c r="AJ475" s="61">
        <f>SUM(AH470:AH475)</f>
        <v>4.6499999999999996E-3</v>
      </c>
    </row>
    <row r="476" spans="1:36" ht="12.95" customHeight="1" x14ac:dyDescent="0.25">
      <c r="A476" s="1522" t="s">
        <v>700</v>
      </c>
      <c r="B476" s="1523"/>
      <c r="C476" s="1523"/>
      <c r="D476" s="1523"/>
      <c r="E476" s="1523"/>
      <c r="F476" s="1523"/>
      <c r="G476" s="1523"/>
      <c r="H476" s="1523"/>
      <c r="I476" s="1523"/>
      <c r="J476" s="1523"/>
      <c r="K476" s="1523"/>
      <c r="L476" s="1523"/>
      <c r="M476" s="1523"/>
      <c r="N476" s="1523"/>
      <c r="O476" s="1523"/>
      <c r="P476" s="1523"/>
      <c r="Q476" s="1523"/>
      <c r="R476" s="1523"/>
      <c r="S476" s="1523"/>
      <c r="T476" s="1524"/>
      <c r="U476" s="1524"/>
      <c r="V476" s="1523"/>
      <c r="W476" s="1523"/>
      <c r="X476" s="1523"/>
      <c r="Y476" s="1523"/>
      <c r="Z476" s="1523"/>
      <c r="AA476" s="1523"/>
      <c r="AB476" s="1523"/>
      <c r="AC476" s="1523"/>
      <c r="AD476" s="1523"/>
      <c r="AE476" s="1523"/>
      <c r="AF476" s="1523"/>
      <c r="AG476" s="1523"/>
      <c r="AH476" s="1525"/>
    </row>
    <row r="477" spans="1:36" ht="12.95" customHeight="1" x14ac:dyDescent="0.25">
      <c r="A477" s="506" t="s">
        <v>582</v>
      </c>
      <c r="B477" s="71" t="s">
        <v>211</v>
      </c>
      <c r="C477" s="1128" t="s">
        <v>444</v>
      </c>
      <c r="D477" s="65">
        <v>1</v>
      </c>
      <c r="E477" s="65">
        <v>1</v>
      </c>
      <c r="F477" s="65">
        <v>1</v>
      </c>
      <c r="G477" s="65">
        <v>1</v>
      </c>
      <c r="H477" s="65">
        <f>ROUND((F477/G477),2)</f>
        <v>1</v>
      </c>
      <c r="I477" s="65">
        <v>173</v>
      </c>
      <c r="J477" s="65">
        <v>0</v>
      </c>
      <c r="K477" s="66">
        <v>0</v>
      </c>
      <c r="L477" s="66">
        <v>0.01</v>
      </c>
      <c r="M477" s="66">
        <v>0.01</v>
      </c>
      <c r="N477" s="65">
        <v>4</v>
      </c>
      <c r="O477" s="65">
        <v>6</v>
      </c>
      <c r="P477" s="65">
        <v>20</v>
      </c>
      <c r="Q477" s="65">
        <v>1</v>
      </c>
      <c r="R477" s="72">
        <v>1</v>
      </c>
      <c r="S477" s="65">
        <v>2</v>
      </c>
      <c r="T477" s="72">
        <v>4</v>
      </c>
      <c r="U477" s="72">
        <v>4</v>
      </c>
      <c r="V477" s="108">
        <f>ROUND((R477*N477+T477*L477+Q477*D477),4)</f>
        <v>5.04</v>
      </c>
      <c r="W477" s="109">
        <f>ROUND((S477*O477+U477*L477+Q477*D477),4)</f>
        <v>13.04</v>
      </c>
      <c r="X477" s="109">
        <f>ROUND((S477*P477+U477*L477+Q477*D477),4)</f>
        <v>41.04</v>
      </c>
      <c r="Y477" s="109">
        <f>ROUND((T477*M477+Q477*E477),4)</f>
        <v>1.04</v>
      </c>
      <c r="Z477" s="109">
        <f>ROUND((U477*M477+Q477*E477),4)</f>
        <v>1.04</v>
      </c>
      <c r="AA477" s="109">
        <f>ROUND((U477*M477+Q477*E477),4)</f>
        <v>1.04</v>
      </c>
      <c r="AB477" s="109">
        <f>ROUND((H477*(V477+Y477)*G477*I477/1000000),4)</f>
        <v>1.1000000000000001E-3</v>
      </c>
      <c r="AC477" s="109">
        <f>ROUND((H477*(W477+Z477)*G477*J477/1000000),4)</f>
        <v>0</v>
      </c>
      <c r="AD477" s="109">
        <f>ROUND((H477*(X477+AA477)*G477*K477/1000000),4)</f>
        <v>0</v>
      </c>
      <c r="AE477" s="73" t="s">
        <v>48</v>
      </c>
      <c r="AF477" s="74" t="s">
        <v>49</v>
      </c>
      <c r="AG477" s="75">
        <f>ROUND(((X477*F477/3600)*0.8),4)</f>
        <v>9.1000000000000004E-3</v>
      </c>
      <c r="AH477" s="75">
        <f>ROUND(((AB477+AC477+AD477)*0.8),4)</f>
        <v>8.9999999999999998E-4</v>
      </c>
    </row>
    <row r="478" spans="1:36" ht="12.95" customHeight="1" x14ac:dyDescent="0.25">
      <c r="A478" s="570" t="s">
        <v>166</v>
      </c>
      <c r="B478" s="67" t="s">
        <v>212</v>
      </c>
      <c r="C478" s="1129"/>
      <c r="D478" s="67"/>
      <c r="E478" s="67"/>
      <c r="F478" s="67"/>
      <c r="G478" s="67"/>
      <c r="H478" s="67"/>
      <c r="I478" s="67"/>
      <c r="J478" s="67"/>
      <c r="K478" s="67"/>
      <c r="L478" s="68"/>
      <c r="M478" s="68"/>
      <c r="N478" s="67"/>
      <c r="O478" s="67"/>
      <c r="P478" s="67"/>
      <c r="Q478" s="69"/>
      <c r="R478" s="69"/>
      <c r="S478" s="70"/>
      <c r="T478" s="69"/>
      <c r="U478" s="69"/>
      <c r="V478" s="110"/>
      <c r="W478" s="111"/>
      <c r="X478" s="111"/>
      <c r="Y478" s="111"/>
      <c r="Z478" s="111"/>
      <c r="AA478" s="111"/>
      <c r="AB478" s="111"/>
      <c r="AC478" s="111"/>
      <c r="AD478" s="111"/>
      <c r="AE478" s="73" t="s">
        <v>51</v>
      </c>
      <c r="AF478" s="74" t="s">
        <v>52</v>
      </c>
      <c r="AG478" s="75">
        <f>ROUND(((X477*F477/3600)*0.13),4)</f>
        <v>1.5E-3</v>
      </c>
      <c r="AH478" s="75">
        <f>ROUND(((AB477+AC477+AD477)*0.13),4)</f>
        <v>1E-4</v>
      </c>
    </row>
    <row r="479" spans="1:36" ht="12.95" customHeight="1" x14ac:dyDescent="0.25">
      <c r="A479" s="571"/>
      <c r="B479" s="76" t="s">
        <v>491</v>
      </c>
      <c r="C479" s="76"/>
      <c r="D479" s="67"/>
      <c r="E479" s="67"/>
      <c r="F479" s="67"/>
      <c r="G479" s="67"/>
      <c r="H479" s="67"/>
      <c r="I479" s="67"/>
      <c r="J479" s="67"/>
      <c r="K479" s="67"/>
      <c r="L479" s="68"/>
      <c r="M479" s="68"/>
      <c r="N479" s="67"/>
      <c r="O479" s="67"/>
      <c r="P479" s="67"/>
      <c r="Q479" s="75">
        <v>0.1</v>
      </c>
      <c r="R479" s="78">
        <v>0.113</v>
      </c>
      <c r="S479" s="79">
        <v>0.13600000000000001</v>
      </c>
      <c r="T479" s="78">
        <v>0.54</v>
      </c>
      <c r="U479" s="78">
        <v>0.67</v>
      </c>
      <c r="V479" s="108">
        <f>ROUND((R479*N477+T479*L477+Q479*D477),4)</f>
        <v>0.55740000000000001</v>
      </c>
      <c r="W479" s="109">
        <f>ROUND((S479*0.9*O477+U479*0.9*L477+Q479*D477),4)</f>
        <v>0.84040000000000004</v>
      </c>
      <c r="X479" s="109">
        <f>ROUND((S479*P477+U479*L477+Q479*D477),4)</f>
        <v>2.8267000000000002</v>
      </c>
      <c r="Y479" s="109">
        <f>ROUND((T479*M477+Q479*E477),4)</f>
        <v>0.10539999999999999</v>
      </c>
      <c r="Z479" s="109">
        <f>ROUND((U479*0.9*M477+Q479*E477),4)</f>
        <v>0.106</v>
      </c>
      <c r="AA479" s="109">
        <f>ROUND((U479*M477+Q479*E477),4)</f>
        <v>0.1067</v>
      </c>
      <c r="AB479" s="109">
        <f>ROUND((H477*(V479+Y479)*G477*I477/1000000),5)</f>
        <v>1.1E-4</v>
      </c>
      <c r="AC479" s="109">
        <f>ROUND((H477*(W479+Z479)*G477*J477/1000000),5)</f>
        <v>0</v>
      </c>
      <c r="AD479" s="109">
        <f>ROUND((H477*(X479+AA479)*G477*K477/1000000),5)</f>
        <v>0</v>
      </c>
      <c r="AE479" s="73" t="s">
        <v>56</v>
      </c>
      <c r="AF479" s="74" t="s">
        <v>57</v>
      </c>
      <c r="AG479" s="75">
        <f>ROUND(((X479*F477/3600)),4)</f>
        <v>8.0000000000000004E-4</v>
      </c>
      <c r="AH479" s="75">
        <f>AB479+AC479+AD479</f>
        <v>1.1E-4</v>
      </c>
    </row>
    <row r="480" spans="1:36" ht="12.95" customHeight="1" x14ac:dyDescent="0.25">
      <c r="A480" s="571"/>
      <c r="B480" s="132"/>
      <c r="C480" s="67"/>
      <c r="D480" s="67"/>
      <c r="E480" s="67"/>
      <c r="F480" s="67"/>
      <c r="G480" s="67"/>
      <c r="H480" s="67"/>
      <c r="I480" s="67"/>
      <c r="J480" s="67"/>
      <c r="K480" s="67"/>
      <c r="L480" s="68"/>
      <c r="M480" s="68"/>
      <c r="N480" s="67"/>
      <c r="O480" s="67"/>
      <c r="P480" s="67"/>
      <c r="Q480" s="75">
        <v>0.45</v>
      </c>
      <c r="R480" s="78">
        <v>0.4</v>
      </c>
      <c r="S480" s="75">
        <v>1.1000000000000001</v>
      </c>
      <c r="T480" s="78">
        <v>1</v>
      </c>
      <c r="U480" s="78">
        <v>1.2</v>
      </c>
      <c r="V480" s="108">
        <f>ROUND((R480*N477+T480*L477+Q480*D477),4)</f>
        <v>2.06</v>
      </c>
      <c r="W480" s="109">
        <f>ROUND((S480*0.9*O477+U480*0.9*L477+Q480*D477),4)</f>
        <v>6.4008000000000003</v>
      </c>
      <c r="X480" s="109">
        <f>ROUND((S480*P477+U480*L477+Q480*D477),4)</f>
        <v>22.462</v>
      </c>
      <c r="Y480" s="109">
        <f>ROUND((T480*M477+Q480*E477),4)</f>
        <v>0.46</v>
      </c>
      <c r="Z480" s="109">
        <f>ROUND((U480*0.9*M477+Q480*E477),4)</f>
        <v>0.46079999999999999</v>
      </c>
      <c r="AA480" s="109">
        <f>ROUND((U480*M477+Q480*E477),4)</f>
        <v>0.46200000000000002</v>
      </c>
      <c r="AB480" s="109">
        <f>ROUND((H477*(V480+Y480)*G477*I477/1000000),4)</f>
        <v>4.0000000000000002E-4</v>
      </c>
      <c r="AC480" s="109">
        <f>ROUND((H477*(W480+Z480)*G477*J477/1000000),4)</f>
        <v>0</v>
      </c>
      <c r="AD480" s="109">
        <f>ROUND((H477*(X480+AA480)*G477*K477/1000000),4)</f>
        <v>0</v>
      </c>
      <c r="AE480" s="73" t="s">
        <v>177</v>
      </c>
      <c r="AF480" s="74" t="s">
        <v>178</v>
      </c>
      <c r="AG480" s="75">
        <f>ROUND(((X480*F477/3600)),4)</f>
        <v>6.1999999999999998E-3</v>
      </c>
      <c r="AH480" s="75">
        <f>AB480+AC480+AD480</f>
        <v>4.0000000000000002E-4</v>
      </c>
    </row>
    <row r="481" spans="1:36" ht="12.95" customHeight="1" x14ac:dyDescent="0.25">
      <c r="A481" s="572"/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8"/>
      <c r="M481" s="68"/>
      <c r="N481" s="67"/>
      <c r="O481" s="67"/>
      <c r="P481" s="67"/>
      <c r="Q481" s="75">
        <v>2.9</v>
      </c>
      <c r="R481" s="78">
        <v>3</v>
      </c>
      <c r="S481" s="75">
        <v>8.1999999999999993</v>
      </c>
      <c r="T481" s="78">
        <v>6.1</v>
      </c>
      <c r="U481" s="78">
        <v>7.4</v>
      </c>
      <c r="V481" s="167">
        <f>ROUND((R481*N477+T481*L477+Q481*D477),4)</f>
        <v>14.961</v>
      </c>
      <c r="W481" s="168">
        <f>ROUND((S481*0.9*O477+U481*0.9*L477+Q481*D477),4)</f>
        <v>47.246600000000001</v>
      </c>
      <c r="X481" s="168">
        <f>ROUND((S481*P477+U481*L477+Q481*D477),4)</f>
        <v>166.97399999999999</v>
      </c>
      <c r="Y481" s="168">
        <f>ROUND((T481*M477+Q481*E477),4)</f>
        <v>2.9609999999999999</v>
      </c>
      <c r="Z481" s="168">
        <f>ROUND((U481*0.9*M477+Q481*E477),4)</f>
        <v>2.9666000000000001</v>
      </c>
      <c r="AA481" s="168">
        <f>ROUND((U481*M477+Q481*E477),4)</f>
        <v>2.9740000000000002</v>
      </c>
      <c r="AB481" s="168">
        <f>ROUND((H477*(V481+Y481)*G477*I477/1000000),4)</f>
        <v>3.0999999999999999E-3</v>
      </c>
      <c r="AC481" s="168">
        <f>ROUND((H477*(W481+Z481)*G477*J477/1000000),4)</f>
        <v>0</v>
      </c>
      <c r="AD481" s="168">
        <f>ROUND((H477*(X481+AA481)*G477*K477/1000000),4)</f>
        <v>0</v>
      </c>
      <c r="AE481" s="73" t="s">
        <v>65</v>
      </c>
      <c r="AF481" s="74" t="s">
        <v>66</v>
      </c>
      <c r="AG481" s="75">
        <f>ROUND(((X481*F477/3600)),4)</f>
        <v>4.6399999999999997E-2</v>
      </c>
      <c r="AH481" s="75">
        <f>AB481+AC481+AD481</f>
        <v>3.0999999999999999E-3</v>
      </c>
    </row>
    <row r="482" spans="1:36" ht="12.95" customHeight="1" x14ac:dyDescent="0.25">
      <c r="A482" s="573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70"/>
      <c r="M482" s="70"/>
      <c r="N482" s="69"/>
      <c r="O482" s="69"/>
      <c r="P482" s="69"/>
      <c r="Q482" s="75">
        <v>0.04</v>
      </c>
      <c r="R482" s="78">
        <v>0.04</v>
      </c>
      <c r="S482" s="75">
        <v>0.16</v>
      </c>
      <c r="T482" s="78">
        <v>0.3</v>
      </c>
      <c r="U482" s="78">
        <v>0.4</v>
      </c>
      <c r="V482" s="167">
        <f>ROUND((R482*N477+T482*L477+Q482*D477),4)</f>
        <v>0.20300000000000001</v>
      </c>
      <c r="W482" s="168">
        <f>ROUND((S482*0.9*O477+U482*0.9*L477+Q482*D477),4)</f>
        <v>0.90759999999999996</v>
      </c>
      <c r="X482" s="168">
        <f>ROUND((S482*P477+U482*L477+Q482*D477),4)</f>
        <v>3.2440000000000002</v>
      </c>
      <c r="Y482" s="168">
        <f>ROUND((T482*M477+Q482*E477),4)</f>
        <v>4.2999999999999997E-2</v>
      </c>
      <c r="Z482" s="168">
        <f>ROUND((U482*0.9*M477+Q482*E477),4)</f>
        <v>4.36E-2</v>
      </c>
      <c r="AA482" s="168">
        <f>ROUND((U482*M477+Q482*E477),4)</f>
        <v>4.3999999999999997E-2</v>
      </c>
      <c r="AB482" s="168">
        <f>ROUND((H477*(V482+Y482)*G477*I477/1000000),5)</f>
        <v>4.0000000000000003E-5</v>
      </c>
      <c r="AC482" s="168">
        <f>ROUND((H477*(W482+Z482)*G477*J477/1000000),5)</f>
        <v>0</v>
      </c>
      <c r="AD482" s="168">
        <f>ROUND((H477*(X482+AA482)*G477*K477/1000000),4)</f>
        <v>0</v>
      </c>
      <c r="AE482" s="73" t="s">
        <v>213</v>
      </c>
      <c r="AF482" s="74" t="s">
        <v>62</v>
      </c>
      <c r="AG482" s="75">
        <f>ROUND(((X482*F477/3600)),4)</f>
        <v>8.9999999999999998E-4</v>
      </c>
      <c r="AH482" s="75">
        <f>AB482+AC482+AD482</f>
        <v>4.0000000000000003E-5</v>
      </c>
      <c r="AI482" s="61">
        <f>SUM(AG477:AG482)</f>
        <v>6.4899999999999999E-2</v>
      </c>
      <c r="AJ482" s="61">
        <f>SUM(AH477:AH482)</f>
        <v>4.6499999999999996E-3</v>
      </c>
    </row>
    <row r="483" spans="1:36" ht="12.95" customHeight="1" x14ac:dyDescent="0.25">
      <c r="A483" s="1522" t="s">
        <v>701</v>
      </c>
      <c r="B483" s="1523"/>
      <c r="C483" s="1523"/>
      <c r="D483" s="1523"/>
      <c r="E483" s="1523"/>
      <c r="F483" s="1523"/>
      <c r="G483" s="1523"/>
      <c r="H483" s="1523"/>
      <c r="I483" s="1523"/>
      <c r="J483" s="1523"/>
      <c r="K483" s="1523"/>
      <c r="L483" s="1523"/>
      <c r="M483" s="1523"/>
      <c r="N483" s="1523"/>
      <c r="O483" s="1523"/>
      <c r="P483" s="1523"/>
      <c r="Q483" s="1523"/>
      <c r="R483" s="1523"/>
      <c r="S483" s="1523"/>
      <c r="T483" s="1524"/>
      <c r="U483" s="1524"/>
      <c r="V483" s="1523"/>
      <c r="W483" s="1523"/>
      <c r="X483" s="1523"/>
      <c r="Y483" s="1523"/>
      <c r="Z483" s="1523"/>
      <c r="AA483" s="1523"/>
      <c r="AB483" s="1523"/>
      <c r="AC483" s="1523"/>
      <c r="AD483" s="1523"/>
      <c r="AE483" s="1523"/>
      <c r="AF483" s="1523"/>
      <c r="AG483" s="1523"/>
      <c r="AH483" s="1525"/>
    </row>
    <row r="484" spans="1:36" ht="12.95" customHeight="1" x14ac:dyDescent="0.25">
      <c r="A484" s="506" t="s">
        <v>585</v>
      </c>
      <c r="B484" s="71" t="s">
        <v>211</v>
      </c>
      <c r="C484" s="1128" t="s">
        <v>444</v>
      </c>
      <c r="D484" s="65">
        <v>1</v>
      </c>
      <c r="E484" s="65">
        <v>1</v>
      </c>
      <c r="F484" s="65">
        <v>1</v>
      </c>
      <c r="G484" s="65">
        <v>1</v>
      </c>
      <c r="H484" s="65">
        <f>ROUND((F484/G484),2)</f>
        <v>1</v>
      </c>
      <c r="I484" s="65">
        <v>173</v>
      </c>
      <c r="J484" s="65">
        <v>0</v>
      </c>
      <c r="K484" s="66">
        <v>0</v>
      </c>
      <c r="L484" s="66">
        <v>0.01</v>
      </c>
      <c r="M484" s="66">
        <v>0.01</v>
      </c>
      <c r="N484" s="65">
        <v>4</v>
      </c>
      <c r="O484" s="65">
        <v>6</v>
      </c>
      <c r="P484" s="65">
        <v>20</v>
      </c>
      <c r="Q484" s="65">
        <v>1</v>
      </c>
      <c r="R484" s="72">
        <v>1</v>
      </c>
      <c r="S484" s="65">
        <v>2</v>
      </c>
      <c r="T484" s="72">
        <v>4</v>
      </c>
      <c r="U484" s="72">
        <v>4</v>
      </c>
      <c r="V484" s="108">
        <f>ROUND((R484*N484+T484*L484+Q484*D484),4)</f>
        <v>5.04</v>
      </c>
      <c r="W484" s="109">
        <f>ROUND((S484*O484+U484*L484+Q484*D484),4)</f>
        <v>13.04</v>
      </c>
      <c r="X484" s="109">
        <f>ROUND((S484*P484+U484*L484+Q484*D484),4)</f>
        <v>41.04</v>
      </c>
      <c r="Y484" s="109">
        <f>ROUND((T484*M484+Q484*E484),4)</f>
        <v>1.04</v>
      </c>
      <c r="Z484" s="109">
        <f>ROUND((U484*M484+Q484*E484),4)</f>
        <v>1.04</v>
      </c>
      <c r="AA484" s="109">
        <f>ROUND((U484*M484+Q484*E484),4)</f>
        <v>1.04</v>
      </c>
      <c r="AB484" s="109">
        <f>ROUND((H484*(V484+Y484)*G484*I484/1000000),4)</f>
        <v>1.1000000000000001E-3</v>
      </c>
      <c r="AC484" s="109">
        <f>ROUND((H484*(W484+Z484)*G484*J484/1000000),4)</f>
        <v>0</v>
      </c>
      <c r="AD484" s="109">
        <f>ROUND((H484*(X484+AA484)*G484*K484/1000000),4)</f>
        <v>0</v>
      </c>
      <c r="AE484" s="73" t="s">
        <v>48</v>
      </c>
      <c r="AF484" s="74" t="s">
        <v>49</v>
      </c>
      <c r="AG484" s="75">
        <f>ROUND(((X484*F484/3600)*0.8),4)</f>
        <v>9.1000000000000004E-3</v>
      </c>
      <c r="AH484" s="75">
        <f>ROUND(((AB484+AC484+AD484)*0.8),4)</f>
        <v>8.9999999999999998E-4</v>
      </c>
    </row>
    <row r="485" spans="1:36" ht="12.95" customHeight="1" x14ac:dyDescent="0.25">
      <c r="A485" s="570" t="s">
        <v>166</v>
      </c>
      <c r="B485" s="67" t="s">
        <v>212</v>
      </c>
      <c r="C485" s="1129"/>
      <c r="D485" s="67"/>
      <c r="E485" s="67"/>
      <c r="F485" s="67"/>
      <c r="G485" s="67"/>
      <c r="H485" s="67"/>
      <c r="I485" s="67"/>
      <c r="J485" s="67"/>
      <c r="K485" s="67"/>
      <c r="L485" s="68"/>
      <c r="M485" s="68"/>
      <c r="N485" s="67"/>
      <c r="O485" s="67"/>
      <c r="P485" s="67"/>
      <c r="Q485" s="69"/>
      <c r="R485" s="69"/>
      <c r="S485" s="70"/>
      <c r="T485" s="69"/>
      <c r="U485" s="69"/>
      <c r="V485" s="110"/>
      <c r="W485" s="111"/>
      <c r="X485" s="111"/>
      <c r="Y485" s="111"/>
      <c r="Z485" s="111"/>
      <c r="AA485" s="111"/>
      <c r="AB485" s="111"/>
      <c r="AC485" s="111"/>
      <c r="AD485" s="111"/>
      <c r="AE485" s="73" t="s">
        <v>51</v>
      </c>
      <c r="AF485" s="74" t="s">
        <v>52</v>
      </c>
      <c r="AG485" s="75">
        <f>ROUND(((X484*F484/3600)*0.13),4)</f>
        <v>1.5E-3</v>
      </c>
      <c r="AH485" s="75">
        <f>ROUND(((AB484+AC484+AD484)*0.13),4)</f>
        <v>1E-4</v>
      </c>
    </row>
    <row r="486" spans="1:36" ht="12.95" customHeight="1" x14ac:dyDescent="0.25">
      <c r="A486" s="571"/>
      <c r="B486" s="76" t="s">
        <v>491</v>
      </c>
      <c r="C486" s="76"/>
      <c r="D486" s="67"/>
      <c r="E486" s="67"/>
      <c r="F486" s="67"/>
      <c r="G486" s="67"/>
      <c r="H486" s="67"/>
      <c r="I486" s="67"/>
      <c r="J486" s="67"/>
      <c r="K486" s="67"/>
      <c r="L486" s="68"/>
      <c r="M486" s="68"/>
      <c r="N486" s="67"/>
      <c r="O486" s="67"/>
      <c r="P486" s="67"/>
      <c r="Q486" s="75">
        <v>0.1</v>
      </c>
      <c r="R486" s="78">
        <v>0.113</v>
      </c>
      <c r="S486" s="79">
        <v>0.13600000000000001</v>
      </c>
      <c r="T486" s="78">
        <v>0.54</v>
      </c>
      <c r="U486" s="78">
        <v>0.67</v>
      </c>
      <c r="V486" s="108">
        <f>ROUND((R486*N484+T486*L484+Q486*D484),4)</f>
        <v>0.55740000000000001</v>
      </c>
      <c r="W486" s="109">
        <f>ROUND((S486*0.9*O484+U486*0.9*L484+Q486*D484),4)</f>
        <v>0.84040000000000004</v>
      </c>
      <c r="X486" s="109">
        <f>ROUND((S486*P484+U486*L484+Q486*D484),4)</f>
        <v>2.8267000000000002</v>
      </c>
      <c r="Y486" s="109">
        <f>ROUND((T486*M484+Q486*E484),4)</f>
        <v>0.10539999999999999</v>
      </c>
      <c r="Z486" s="109">
        <f>ROUND((U486*0.9*M484+Q486*E484),4)</f>
        <v>0.106</v>
      </c>
      <c r="AA486" s="109">
        <f>ROUND((U486*M484+Q486*E484),4)</f>
        <v>0.1067</v>
      </c>
      <c r="AB486" s="109">
        <f>ROUND((H484*(V486+Y486)*G484*I484/1000000),5)</f>
        <v>1.1E-4</v>
      </c>
      <c r="AC486" s="109">
        <f>ROUND((H484*(W486+Z486)*G484*J484/1000000),5)</f>
        <v>0</v>
      </c>
      <c r="AD486" s="109">
        <f>ROUND((H484*(X486+AA486)*G484*K484/1000000),5)</f>
        <v>0</v>
      </c>
      <c r="AE486" s="73" t="s">
        <v>56</v>
      </c>
      <c r="AF486" s="74" t="s">
        <v>57</v>
      </c>
      <c r="AG486" s="75">
        <f>ROUND(((X486*F484/3600)),4)</f>
        <v>8.0000000000000004E-4</v>
      </c>
      <c r="AH486" s="75">
        <f>AB486+AC486+AD486</f>
        <v>1.1E-4</v>
      </c>
    </row>
    <row r="487" spans="1:36" ht="12.95" customHeight="1" x14ac:dyDescent="0.25">
      <c r="A487" s="571"/>
      <c r="B487" s="132"/>
      <c r="C487" s="67"/>
      <c r="D487" s="67"/>
      <c r="E487" s="67"/>
      <c r="F487" s="67"/>
      <c r="G487" s="67"/>
      <c r="H487" s="67"/>
      <c r="I487" s="67"/>
      <c r="J487" s="67"/>
      <c r="K487" s="67"/>
      <c r="L487" s="68"/>
      <c r="M487" s="68"/>
      <c r="N487" s="67"/>
      <c r="O487" s="67"/>
      <c r="P487" s="67"/>
      <c r="Q487" s="75">
        <v>0.45</v>
      </c>
      <c r="R487" s="78">
        <v>0.4</v>
      </c>
      <c r="S487" s="75">
        <v>1.1000000000000001</v>
      </c>
      <c r="T487" s="78">
        <v>1</v>
      </c>
      <c r="U487" s="78">
        <v>1.2</v>
      </c>
      <c r="V487" s="108">
        <f>ROUND((R487*N484+T487*L484+Q487*D484),4)</f>
        <v>2.06</v>
      </c>
      <c r="W487" s="109">
        <f>ROUND((S487*0.9*O484+U487*0.9*L484+Q487*D484),4)</f>
        <v>6.4008000000000003</v>
      </c>
      <c r="X487" s="109">
        <f>ROUND((S487*P484+U487*L484+Q487*D484),4)</f>
        <v>22.462</v>
      </c>
      <c r="Y487" s="109">
        <f>ROUND((T487*M484+Q487*E484),4)</f>
        <v>0.46</v>
      </c>
      <c r="Z487" s="109">
        <f>ROUND((U487*0.9*M484+Q487*E484),4)</f>
        <v>0.46079999999999999</v>
      </c>
      <c r="AA487" s="109">
        <f>ROUND((U487*M484+Q487*E484),4)</f>
        <v>0.46200000000000002</v>
      </c>
      <c r="AB487" s="109">
        <f>ROUND((H484*(V487+Y487)*G484*I484/1000000),4)</f>
        <v>4.0000000000000002E-4</v>
      </c>
      <c r="AC487" s="109">
        <f>ROUND((H484*(W487+Z487)*G484*J484/1000000),4)</f>
        <v>0</v>
      </c>
      <c r="AD487" s="109">
        <f>ROUND((H484*(X487+AA487)*G484*K484/1000000),4)</f>
        <v>0</v>
      </c>
      <c r="AE487" s="73" t="s">
        <v>177</v>
      </c>
      <c r="AF487" s="74" t="s">
        <v>178</v>
      </c>
      <c r="AG487" s="75">
        <f>ROUND(((X487*F484/3600)),4)</f>
        <v>6.1999999999999998E-3</v>
      </c>
      <c r="AH487" s="75">
        <f>AB487+AC487+AD487</f>
        <v>4.0000000000000002E-4</v>
      </c>
    </row>
    <row r="488" spans="1:36" ht="12.95" customHeight="1" x14ac:dyDescent="0.25">
      <c r="A488" s="572"/>
      <c r="B488" s="67"/>
      <c r="C488" s="67"/>
      <c r="D488" s="67"/>
      <c r="E488" s="67"/>
      <c r="F488" s="67"/>
      <c r="G488" s="67"/>
      <c r="H488" s="67"/>
      <c r="I488" s="67"/>
      <c r="J488" s="67"/>
      <c r="K488" s="67"/>
      <c r="L488" s="68"/>
      <c r="M488" s="68"/>
      <c r="N488" s="67"/>
      <c r="O488" s="67"/>
      <c r="P488" s="67"/>
      <c r="Q488" s="75">
        <v>2.9</v>
      </c>
      <c r="R488" s="78">
        <v>3</v>
      </c>
      <c r="S488" s="75">
        <v>8.1999999999999993</v>
      </c>
      <c r="T488" s="78">
        <v>6.1</v>
      </c>
      <c r="U488" s="78">
        <v>7.4</v>
      </c>
      <c r="V488" s="167">
        <f>ROUND((R488*N484+T488*L484+Q488*D484),4)</f>
        <v>14.961</v>
      </c>
      <c r="W488" s="168">
        <f>ROUND((S488*0.9*O484+U488*0.9*L484+Q488*D484),4)</f>
        <v>47.246600000000001</v>
      </c>
      <c r="X488" s="168">
        <f>ROUND((S488*P484+U488*L484+Q488*D484),4)</f>
        <v>166.97399999999999</v>
      </c>
      <c r="Y488" s="168">
        <f>ROUND((T488*M484+Q488*E484),4)</f>
        <v>2.9609999999999999</v>
      </c>
      <c r="Z488" s="168">
        <f>ROUND((U488*0.9*M484+Q488*E484),4)</f>
        <v>2.9666000000000001</v>
      </c>
      <c r="AA488" s="168">
        <f>ROUND((U488*M484+Q488*E484),4)</f>
        <v>2.9740000000000002</v>
      </c>
      <c r="AB488" s="168">
        <f>ROUND((H484*(V488+Y488)*G484*I484/1000000),4)</f>
        <v>3.0999999999999999E-3</v>
      </c>
      <c r="AC488" s="168">
        <f>ROUND((H484*(W488+Z488)*G484*J484/1000000),4)</f>
        <v>0</v>
      </c>
      <c r="AD488" s="168">
        <f>ROUND((H484*(X488+AA488)*G484*K484/1000000),4)</f>
        <v>0</v>
      </c>
      <c r="AE488" s="73" t="s">
        <v>65</v>
      </c>
      <c r="AF488" s="74" t="s">
        <v>66</v>
      </c>
      <c r="AG488" s="75">
        <f>ROUND(((X488*F484/3600)),4)</f>
        <v>4.6399999999999997E-2</v>
      </c>
      <c r="AH488" s="75">
        <f>AB488+AC488+AD488</f>
        <v>3.0999999999999999E-3</v>
      </c>
    </row>
    <row r="489" spans="1:36" ht="12.95" customHeight="1" x14ac:dyDescent="0.25">
      <c r="A489" s="573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70"/>
      <c r="M489" s="70"/>
      <c r="N489" s="69"/>
      <c r="O489" s="69"/>
      <c r="P489" s="69"/>
      <c r="Q489" s="75">
        <v>0.04</v>
      </c>
      <c r="R489" s="78">
        <v>0.04</v>
      </c>
      <c r="S489" s="75">
        <v>0.16</v>
      </c>
      <c r="T489" s="78">
        <v>0.3</v>
      </c>
      <c r="U489" s="78">
        <v>0.4</v>
      </c>
      <c r="V489" s="167">
        <f>ROUND((R489*N484+T489*L484+Q489*D484),4)</f>
        <v>0.20300000000000001</v>
      </c>
      <c r="W489" s="168">
        <f>ROUND((S489*0.9*O484+U489*0.9*L484+Q489*D484),4)</f>
        <v>0.90759999999999996</v>
      </c>
      <c r="X489" s="168">
        <f>ROUND((S489*P484+U489*L484+Q489*D484),4)</f>
        <v>3.2440000000000002</v>
      </c>
      <c r="Y489" s="168">
        <f>ROUND((T489*M484+Q489*E484),4)</f>
        <v>4.2999999999999997E-2</v>
      </c>
      <c r="Z489" s="168">
        <f>ROUND((U489*0.9*M484+Q489*E484),4)</f>
        <v>4.36E-2</v>
      </c>
      <c r="AA489" s="168">
        <f>ROUND((U489*M484+Q489*E484),4)</f>
        <v>4.3999999999999997E-2</v>
      </c>
      <c r="AB489" s="168">
        <f>ROUND((H484*(V489+Y489)*G484*I484/1000000),5)</f>
        <v>4.0000000000000003E-5</v>
      </c>
      <c r="AC489" s="168">
        <f>ROUND((H484*(W489+Z489)*G484*J484/1000000),5)</f>
        <v>0</v>
      </c>
      <c r="AD489" s="168">
        <f>ROUND((H484*(X489+AA489)*G484*K484/1000000),4)</f>
        <v>0</v>
      </c>
      <c r="AE489" s="73" t="s">
        <v>213</v>
      </c>
      <c r="AF489" s="74" t="s">
        <v>62</v>
      </c>
      <c r="AG489" s="75">
        <f>ROUND(((X489*F484/3600)),4)</f>
        <v>8.9999999999999998E-4</v>
      </c>
      <c r="AH489" s="75">
        <f>AB489+AC489+AD489</f>
        <v>4.0000000000000003E-5</v>
      </c>
      <c r="AI489" s="61">
        <f>SUM(AG484:AG489)</f>
        <v>6.4899999999999999E-2</v>
      </c>
      <c r="AJ489" s="61">
        <f>SUM(AH484:AH489)</f>
        <v>4.6499999999999996E-3</v>
      </c>
    </row>
    <row r="490" spans="1:36" ht="12.95" customHeight="1" x14ac:dyDescent="0.25">
      <c r="A490" s="1522" t="s">
        <v>702</v>
      </c>
      <c r="B490" s="1523"/>
      <c r="C490" s="1523"/>
      <c r="D490" s="1523"/>
      <c r="E490" s="1523"/>
      <c r="F490" s="1523"/>
      <c r="G490" s="1523"/>
      <c r="H490" s="1523"/>
      <c r="I490" s="1523"/>
      <c r="J490" s="1523"/>
      <c r="K490" s="1523"/>
      <c r="L490" s="1523"/>
      <c r="M490" s="1523"/>
      <c r="N490" s="1523"/>
      <c r="O490" s="1523"/>
      <c r="P490" s="1523"/>
      <c r="Q490" s="1523"/>
      <c r="R490" s="1523"/>
      <c r="S490" s="1523"/>
      <c r="T490" s="1524"/>
      <c r="U490" s="1524"/>
      <c r="V490" s="1523"/>
      <c r="W490" s="1523"/>
      <c r="X490" s="1523"/>
      <c r="Y490" s="1523"/>
      <c r="Z490" s="1523"/>
      <c r="AA490" s="1523"/>
      <c r="AB490" s="1523"/>
      <c r="AC490" s="1523"/>
      <c r="AD490" s="1523"/>
      <c r="AE490" s="1523"/>
      <c r="AF490" s="1523"/>
      <c r="AG490" s="1523"/>
      <c r="AH490" s="1525"/>
    </row>
    <row r="491" spans="1:36" ht="12.95" customHeight="1" x14ac:dyDescent="0.25">
      <c r="A491" s="506" t="s">
        <v>589</v>
      </c>
      <c r="B491" s="71" t="s">
        <v>211</v>
      </c>
      <c r="C491" s="1128" t="s">
        <v>444</v>
      </c>
      <c r="D491" s="65">
        <v>1</v>
      </c>
      <c r="E491" s="65">
        <v>1</v>
      </c>
      <c r="F491" s="65">
        <v>1</v>
      </c>
      <c r="G491" s="65">
        <v>1</v>
      </c>
      <c r="H491" s="65">
        <f>ROUND((F491/G491),2)</f>
        <v>1</v>
      </c>
      <c r="I491" s="65">
        <v>173</v>
      </c>
      <c r="J491" s="65">
        <v>0</v>
      </c>
      <c r="K491" s="66">
        <v>0</v>
      </c>
      <c r="L491" s="66">
        <v>0.01</v>
      </c>
      <c r="M491" s="66">
        <v>0.01</v>
      </c>
      <c r="N491" s="65">
        <v>4</v>
      </c>
      <c r="O491" s="65">
        <v>6</v>
      </c>
      <c r="P491" s="65">
        <v>20</v>
      </c>
      <c r="Q491" s="65">
        <v>1</v>
      </c>
      <c r="R491" s="72">
        <v>1</v>
      </c>
      <c r="S491" s="65">
        <v>2</v>
      </c>
      <c r="T491" s="72">
        <v>4</v>
      </c>
      <c r="U491" s="72">
        <v>4</v>
      </c>
      <c r="V491" s="108">
        <f>ROUND((R491*N491+T491*L491+Q491*D491),4)</f>
        <v>5.04</v>
      </c>
      <c r="W491" s="109">
        <f>ROUND((S491*O491+U491*L491+Q491*D491),4)</f>
        <v>13.04</v>
      </c>
      <c r="X491" s="109">
        <f>ROUND((S491*P491+U491*L491+Q491*D491),4)</f>
        <v>41.04</v>
      </c>
      <c r="Y491" s="109">
        <f>ROUND((T491*M491+Q491*E491),4)</f>
        <v>1.04</v>
      </c>
      <c r="Z491" s="109">
        <f>ROUND((U491*M491+Q491*E491),4)</f>
        <v>1.04</v>
      </c>
      <c r="AA491" s="109">
        <f>ROUND((U491*M491+Q491*E491),4)</f>
        <v>1.04</v>
      </c>
      <c r="AB491" s="109">
        <f>ROUND((H491*(V491+Y491)*G491*I491/1000000),4)</f>
        <v>1.1000000000000001E-3</v>
      </c>
      <c r="AC491" s="109">
        <f>ROUND((H491*(W491+Z491)*G491*J491/1000000),4)</f>
        <v>0</v>
      </c>
      <c r="AD491" s="109">
        <f>ROUND((H491*(X491+AA491)*G491*K491/1000000),4)</f>
        <v>0</v>
      </c>
      <c r="AE491" s="73" t="s">
        <v>48</v>
      </c>
      <c r="AF491" s="74" t="s">
        <v>49</v>
      </c>
      <c r="AG491" s="75">
        <f>ROUND(((X491*F491/3600)*0.8),4)</f>
        <v>9.1000000000000004E-3</v>
      </c>
      <c r="AH491" s="75">
        <f>ROUND(((AB491+AC491+AD491)*0.8),4)</f>
        <v>8.9999999999999998E-4</v>
      </c>
    </row>
    <row r="492" spans="1:36" ht="12.95" customHeight="1" x14ac:dyDescent="0.25">
      <c r="A492" s="570" t="s">
        <v>166</v>
      </c>
      <c r="B492" s="67" t="s">
        <v>212</v>
      </c>
      <c r="C492" s="1129"/>
      <c r="D492" s="67"/>
      <c r="E492" s="67"/>
      <c r="F492" s="67"/>
      <c r="G492" s="67"/>
      <c r="H492" s="67"/>
      <c r="I492" s="67"/>
      <c r="J492" s="67"/>
      <c r="K492" s="67"/>
      <c r="L492" s="68"/>
      <c r="M492" s="68"/>
      <c r="N492" s="67"/>
      <c r="O492" s="67"/>
      <c r="P492" s="67"/>
      <c r="Q492" s="69"/>
      <c r="R492" s="69"/>
      <c r="S492" s="70"/>
      <c r="T492" s="69"/>
      <c r="U492" s="69"/>
      <c r="V492" s="110"/>
      <c r="W492" s="111"/>
      <c r="X492" s="111"/>
      <c r="Y492" s="111"/>
      <c r="Z492" s="111"/>
      <c r="AA492" s="111"/>
      <c r="AB492" s="111"/>
      <c r="AC492" s="111"/>
      <c r="AD492" s="111"/>
      <c r="AE492" s="73" t="s">
        <v>51</v>
      </c>
      <c r="AF492" s="74" t="s">
        <v>52</v>
      </c>
      <c r="AG492" s="75">
        <f>ROUND(((X491*F491/3600)*0.13),4)</f>
        <v>1.5E-3</v>
      </c>
      <c r="AH492" s="75">
        <f>ROUND(((AB491+AC491+AD491)*0.13),4)</f>
        <v>1E-4</v>
      </c>
    </row>
    <row r="493" spans="1:36" ht="12.95" customHeight="1" x14ac:dyDescent="0.25">
      <c r="A493" s="571"/>
      <c r="B493" s="76" t="s">
        <v>491</v>
      </c>
      <c r="C493" s="76"/>
      <c r="D493" s="67"/>
      <c r="E493" s="67"/>
      <c r="F493" s="67"/>
      <c r="G493" s="67"/>
      <c r="H493" s="67"/>
      <c r="I493" s="67"/>
      <c r="J493" s="67"/>
      <c r="K493" s="67"/>
      <c r="L493" s="68"/>
      <c r="M493" s="68"/>
      <c r="N493" s="67"/>
      <c r="O493" s="67"/>
      <c r="P493" s="67"/>
      <c r="Q493" s="75">
        <v>0.1</v>
      </c>
      <c r="R493" s="78">
        <v>0.113</v>
      </c>
      <c r="S493" s="79">
        <v>0.13600000000000001</v>
      </c>
      <c r="T493" s="78">
        <v>0.54</v>
      </c>
      <c r="U493" s="78">
        <v>0.67</v>
      </c>
      <c r="V493" s="108">
        <f>ROUND((R493*N491+T493*L491+Q493*D491),4)</f>
        <v>0.55740000000000001</v>
      </c>
      <c r="W493" s="109">
        <f>ROUND((S493*0.9*O491+U493*0.9*L491+Q493*D491),4)</f>
        <v>0.84040000000000004</v>
      </c>
      <c r="X493" s="109">
        <f>ROUND((S493*P491+U493*L491+Q493*D491),4)</f>
        <v>2.8267000000000002</v>
      </c>
      <c r="Y493" s="109">
        <f>ROUND((T493*M491+Q493*E491),4)</f>
        <v>0.10539999999999999</v>
      </c>
      <c r="Z493" s="109">
        <f>ROUND((U493*0.9*M491+Q493*E491),4)</f>
        <v>0.106</v>
      </c>
      <c r="AA493" s="109">
        <f>ROUND((U493*M491+Q493*E491),4)</f>
        <v>0.1067</v>
      </c>
      <c r="AB493" s="109">
        <f>ROUND((H491*(V493+Y493)*G491*I491/1000000),5)</f>
        <v>1.1E-4</v>
      </c>
      <c r="AC493" s="109">
        <f>ROUND((H491*(W493+Z493)*G491*J491/1000000),5)</f>
        <v>0</v>
      </c>
      <c r="AD493" s="109">
        <f>ROUND((H491*(X493+AA493)*G491*K491/1000000),5)</f>
        <v>0</v>
      </c>
      <c r="AE493" s="73" t="s">
        <v>56</v>
      </c>
      <c r="AF493" s="74" t="s">
        <v>57</v>
      </c>
      <c r="AG493" s="75">
        <f>ROUND(((X493*F491/3600)),4)</f>
        <v>8.0000000000000004E-4</v>
      </c>
      <c r="AH493" s="75">
        <f>AB493+AC493+AD493</f>
        <v>1.1E-4</v>
      </c>
    </row>
    <row r="494" spans="1:36" ht="12.95" customHeight="1" x14ac:dyDescent="0.25">
      <c r="A494" s="571"/>
      <c r="B494" s="132"/>
      <c r="C494" s="67"/>
      <c r="D494" s="67"/>
      <c r="E494" s="67"/>
      <c r="F494" s="67"/>
      <c r="G494" s="67"/>
      <c r="H494" s="67"/>
      <c r="I494" s="67"/>
      <c r="J494" s="67"/>
      <c r="K494" s="67"/>
      <c r="L494" s="68"/>
      <c r="M494" s="68"/>
      <c r="N494" s="67"/>
      <c r="O494" s="67"/>
      <c r="P494" s="67"/>
      <c r="Q494" s="75">
        <v>0.45</v>
      </c>
      <c r="R494" s="78">
        <v>0.4</v>
      </c>
      <c r="S494" s="75">
        <v>1.1000000000000001</v>
      </c>
      <c r="T494" s="78">
        <v>1</v>
      </c>
      <c r="U494" s="78">
        <v>1.2</v>
      </c>
      <c r="V494" s="108">
        <f>ROUND((R494*N491+T494*L491+Q494*D491),4)</f>
        <v>2.06</v>
      </c>
      <c r="W494" s="109">
        <f>ROUND((S494*0.9*O491+U494*0.9*L491+Q494*D491),4)</f>
        <v>6.4008000000000003</v>
      </c>
      <c r="X494" s="109">
        <f>ROUND((S494*P491+U494*L491+Q494*D491),4)</f>
        <v>22.462</v>
      </c>
      <c r="Y494" s="109">
        <f>ROUND((T494*M491+Q494*E491),4)</f>
        <v>0.46</v>
      </c>
      <c r="Z494" s="109">
        <f>ROUND((U494*0.9*M491+Q494*E491),4)</f>
        <v>0.46079999999999999</v>
      </c>
      <c r="AA494" s="109">
        <f>ROUND((U494*M491+Q494*E491),4)</f>
        <v>0.46200000000000002</v>
      </c>
      <c r="AB494" s="109">
        <f>ROUND((H491*(V494+Y494)*G491*I491/1000000),4)</f>
        <v>4.0000000000000002E-4</v>
      </c>
      <c r="AC494" s="109">
        <f>ROUND((H491*(W494+Z494)*G491*J491/1000000),4)</f>
        <v>0</v>
      </c>
      <c r="AD494" s="109">
        <f>ROUND((H491*(X494+AA494)*G491*K491/1000000),4)</f>
        <v>0</v>
      </c>
      <c r="AE494" s="73" t="s">
        <v>177</v>
      </c>
      <c r="AF494" s="74" t="s">
        <v>178</v>
      </c>
      <c r="AG494" s="75">
        <f>ROUND(((X494*F491/3600)),4)</f>
        <v>6.1999999999999998E-3</v>
      </c>
      <c r="AH494" s="75">
        <f>AB494+AC494+AD494</f>
        <v>4.0000000000000002E-4</v>
      </c>
    </row>
    <row r="495" spans="1:36" ht="12.95" customHeight="1" x14ac:dyDescent="0.25">
      <c r="A495" s="572"/>
      <c r="B495" s="67"/>
      <c r="C495" s="67"/>
      <c r="D495" s="67"/>
      <c r="E495" s="67"/>
      <c r="F495" s="67"/>
      <c r="G495" s="67"/>
      <c r="H495" s="67"/>
      <c r="I495" s="67"/>
      <c r="J495" s="67"/>
      <c r="K495" s="67"/>
      <c r="L495" s="68"/>
      <c r="M495" s="68"/>
      <c r="N495" s="67"/>
      <c r="O495" s="67"/>
      <c r="P495" s="67"/>
      <c r="Q495" s="75">
        <v>2.9</v>
      </c>
      <c r="R495" s="78">
        <v>3</v>
      </c>
      <c r="S495" s="75">
        <v>8.1999999999999993</v>
      </c>
      <c r="T495" s="78">
        <v>6.1</v>
      </c>
      <c r="U495" s="78">
        <v>7.4</v>
      </c>
      <c r="V495" s="167">
        <f>ROUND((R495*N491+T495*L491+Q495*D491),4)</f>
        <v>14.961</v>
      </c>
      <c r="W495" s="168">
        <f>ROUND((S495*0.9*O491+U495*0.9*L491+Q495*D491),4)</f>
        <v>47.246600000000001</v>
      </c>
      <c r="X495" s="168">
        <f>ROUND((S495*P491+U495*L491+Q495*D491),4)</f>
        <v>166.97399999999999</v>
      </c>
      <c r="Y495" s="168">
        <f>ROUND((T495*M491+Q495*E491),4)</f>
        <v>2.9609999999999999</v>
      </c>
      <c r="Z495" s="168">
        <f>ROUND((U495*0.9*M491+Q495*E491),4)</f>
        <v>2.9666000000000001</v>
      </c>
      <c r="AA495" s="168">
        <f>ROUND((U495*M491+Q495*E491),4)</f>
        <v>2.9740000000000002</v>
      </c>
      <c r="AB495" s="168">
        <f>ROUND((H491*(V495+Y495)*G491*I491/1000000),4)</f>
        <v>3.0999999999999999E-3</v>
      </c>
      <c r="AC495" s="168">
        <f>ROUND((H491*(W495+Z495)*G491*J491/1000000),4)</f>
        <v>0</v>
      </c>
      <c r="AD495" s="168">
        <f>ROUND((H491*(X495+AA495)*G491*K491/1000000),4)</f>
        <v>0</v>
      </c>
      <c r="AE495" s="73" t="s">
        <v>65</v>
      </c>
      <c r="AF495" s="74" t="s">
        <v>66</v>
      </c>
      <c r="AG495" s="75">
        <f>ROUND(((X495*F491/3600)),4)</f>
        <v>4.6399999999999997E-2</v>
      </c>
      <c r="AH495" s="75">
        <f>AB495+AC495+AD495</f>
        <v>3.0999999999999999E-3</v>
      </c>
    </row>
    <row r="496" spans="1:36" ht="12.95" customHeight="1" x14ac:dyDescent="0.25">
      <c r="A496" s="573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70"/>
      <c r="M496" s="70"/>
      <c r="N496" s="69"/>
      <c r="O496" s="69"/>
      <c r="P496" s="69"/>
      <c r="Q496" s="75">
        <v>0.04</v>
      </c>
      <c r="R496" s="78">
        <v>0.04</v>
      </c>
      <c r="S496" s="75">
        <v>0.16</v>
      </c>
      <c r="T496" s="78">
        <v>0.3</v>
      </c>
      <c r="U496" s="78">
        <v>0.4</v>
      </c>
      <c r="V496" s="167">
        <f>ROUND((R496*N491+T496*L491+Q496*D491),4)</f>
        <v>0.20300000000000001</v>
      </c>
      <c r="W496" s="168">
        <f>ROUND((S496*0.9*O491+U496*0.9*L491+Q496*D491),4)</f>
        <v>0.90759999999999996</v>
      </c>
      <c r="X496" s="168">
        <f>ROUND((S496*P491+U496*L491+Q496*D491),4)</f>
        <v>3.2440000000000002</v>
      </c>
      <c r="Y496" s="168">
        <f>ROUND((T496*M491+Q496*E491),4)</f>
        <v>4.2999999999999997E-2</v>
      </c>
      <c r="Z496" s="168">
        <f>ROUND((U496*0.9*M491+Q496*E491),4)</f>
        <v>4.36E-2</v>
      </c>
      <c r="AA496" s="168">
        <f>ROUND((U496*M491+Q496*E491),4)</f>
        <v>4.3999999999999997E-2</v>
      </c>
      <c r="AB496" s="168">
        <f>ROUND((H491*(V496+Y496)*G491*I491/1000000),5)</f>
        <v>4.0000000000000003E-5</v>
      </c>
      <c r="AC496" s="168">
        <f>ROUND((H491*(W496+Z496)*G491*J491/1000000),5)</f>
        <v>0</v>
      </c>
      <c r="AD496" s="168">
        <f>ROUND((H491*(X496+AA496)*G491*K491/1000000),4)</f>
        <v>0</v>
      </c>
      <c r="AE496" s="73" t="s">
        <v>213</v>
      </c>
      <c r="AF496" s="74" t="s">
        <v>62</v>
      </c>
      <c r="AG496" s="75">
        <f>ROUND(((X496*F491/3600)),4)</f>
        <v>8.9999999999999998E-4</v>
      </c>
      <c r="AH496" s="75">
        <f>AB496+AC496+AD496</f>
        <v>4.0000000000000003E-5</v>
      </c>
      <c r="AI496" s="61">
        <f>SUM(AG491:AG496)</f>
        <v>6.4899999999999999E-2</v>
      </c>
      <c r="AJ496" s="61">
        <f>SUM(AH491:AH496)</f>
        <v>4.6499999999999996E-3</v>
      </c>
    </row>
    <row r="497" spans="1:36" ht="12.95" customHeight="1" x14ac:dyDescent="0.25">
      <c r="A497" s="1518" t="s">
        <v>703</v>
      </c>
      <c r="B497" s="1519"/>
      <c r="C497" s="1519"/>
      <c r="D497" s="1519"/>
      <c r="E497" s="1519"/>
      <c r="F497" s="1519"/>
      <c r="G497" s="1519"/>
      <c r="H497" s="1519"/>
      <c r="I497" s="1519"/>
      <c r="J497" s="1519"/>
      <c r="K497" s="1519"/>
      <c r="L497" s="1519"/>
      <c r="M497" s="1519"/>
      <c r="N497" s="1519"/>
      <c r="O497" s="1519"/>
      <c r="P497" s="1519"/>
      <c r="Q497" s="1519"/>
      <c r="R497" s="1519"/>
      <c r="S497" s="1519"/>
      <c r="T497" s="1520"/>
      <c r="U497" s="1520"/>
      <c r="V497" s="1519"/>
      <c r="W497" s="1519"/>
      <c r="X497" s="1519"/>
      <c r="Y497" s="1519"/>
      <c r="Z497" s="1519"/>
      <c r="AA497" s="1519"/>
      <c r="AB497" s="1519"/>
      <c r="AC497" s="1519"/>
      <c r="AD497" s="1519"/>
      <c r="AE497" s="1519"/>
      <c r="AF497" s="1519"/>
      <c r="AG497" s="1519"/>
      <c r="AH497" s="1521"/>
    </row>
    <row r="498" spans="1:36" ht="12.95" customHeight="1" x14ac:dyDescent="0.25">
      <c r="A498" s="574" t="s">
        <v>676</v>
      </c>
      <c r="B498" s="93" t="s">
        <v>211</v>
      </c>
      <c r="C498" s="1109" t="s">
        <v>444</v>
      </c>
      <c r="D498" s="97">
        <v>1</v>
      </c>
      <c r="E498" s="97">
        <v>1</v>
      </c>
      <c r="F498" s="97">
        <v>1</v>
      </c>
      <c r="G498" s="97">
        <v>1</v>
      </c>
      <c r="H498" s="97">
        <f>ROUND((F498/G498),2)</f>
        <v>1</v>
      </c>
      <c r="I498" s="65">
        <v>180</v>
      </c>
      <c r="J498" s="65">
        <v>90</v>
      </c>
      <c r="K498" s="66">
        <v>95</v>
      </c>
      <c r="L498" s="98">
        <v>0.01</v>
      </c>
      <c r="M498" s="98">
        <v>0.01</v>
      </c>
      <c r="N498" s="97">
        <v>4</v>
      </c>
      <c r="O498" s="97">
        <v>6</v>
      </c>
      <c r="P498" s="97">
        <v>20</v>
      </c>
      <c r="Q498" s="97">
        <v>1</v>
      </c>
      <c r="R498" s="96">
        <v>1</v>
      </c>
      <c r="S498" s="97">
        <v>2</v>
      </c>
      <c r="T498" s="96">
        <v>4</v>
      </c>
      <c r="U498" s="96">
        <v>4</v>
      </c>
      <c r="V498" s="108">
        <f>ROUND((R498*N498+T498*L498+Q498*D498),4)</f>
        <v>5.04</v>
      </c>
      <c r="W498" s="109">
        <f>ROUND((S498*O498+U498*L498+Q498*D498),4)</f>
        <v>13.04</v>
      </c>
      <c r="X498" s="109">
        <f>ROUND((S498*P498+U498*L498+Q498*D498),4)</f>
        <v>41.04</v>
      </c>
      <c r="Y498" s="109">
        <f>ROUND((T498*M498+Q498*E498),4)</f>
        <v>1.04</v>
      </c>
      <c r="Z498" s="109">
        <f>ROUND((U498*M498+Q498*E498),4)</f>
        <v>1.04</v>
      </c>
      <c r="AA498" s="109">
        <f>ROUND((U498*M498+Q498*E498),4)</f>
        <v>1.04</v>
      </c>
      <c r="AB498" s="109">
        <f>ROUND((H498*(V498+Y498)*G498*I498/1000000),4)</f>
        <v>1.1000000000000001E-3</v>
      </c>
      <c r="AC498" s="109">
        <f>ROUND((H498*(W498+Z498)*G498*J498/1000000),4)</f>
        <v>1.2999999999999999E-3</v>
      </c>
      <c r="AD498" s="109">
        <f>ROUND((H498*(X498+AA498)*G498*K498/1000000),4)</f>
        <v>4.0000000000000001E-3</v>
      </c>
      <c r="AE498" s="103" t="s">
        <v>48</v>
      </c>
      <c r="AF498" s="104" t="s">
        <v>49</v>
      </c>
      <c r="AG498" s="105">
        <f>ROUND(((X498*F498/3600)*0.8),4)</f>
        <v>9.1000000000000004E-3</v>
      </c>
      <c r="AH498" s="105">
        <f>ROUND(((AB498+AC498+AD498)*0.8),4)</f>
        <v>5.1000000000000004E-3</v>
      </c>
    </row>
    <row r="499" spans="1:36" ht="12.95" customHeight="1" x14ac:dyDescent="0.25">
      <c r="A499" s="575" t="s">
        <v>150</v>
      </c>
      <c r="B499" s="94" t="s">
        <v>212</v>
      </c>
      <c r="C499" s="1110"/>
      <c r="D499" s="94"/>
      <c r="E499" s="94"/>
      <c r="F499" s="94"/>
      <c r="G499" s="94"/>
      <c r="H499" s="94"/>
      <c r="I499" s="94"/>
      <c r="J499" s="94"/>
      <c r="K499" s="94"/>
      <c r="L499" s="99"/>
      <c r="M499" s="99"/>
      <c r="N499" s="94"/>
      <c r="O499" s="94"/>
      <c r="P499" s="94"/>
      <c r="Q499" s="101"/>
      <c r="R499" s="101"/>
      <c r="S499" s="102"/>
      <c r="T499" s="101"/>
      <c r="U499" s="101"/>
      <c r="V499" s="110"/>
      <c r="W499" s="111"/>
      <c r="X499" s="111"/>
      <c r="Y499" s="111"/>
      <c r="Z499" s="111"/>
      <c r="AA499" s="111"/>
      <c r="AB499" s="111"/>
      <c r="AC499" s="111"/>
      <c r="AD499" s="111"/>
      <c r="AE499" s="103" t="s">
        <v>51</v>
      </c>
      <c r="AF499" s="104" t="s">
        <v>52</v>
      </c>
      <c r="AG499" s="105">
        <f>ROUND(((X498*F498/3600)*0.13),4)</f>
        <v>1.5E-3</v>
      </c>
      <c r="AH499" s="105">
        <f>ROUND(((AB498+AC498+AD498)*0.13),4)</f>
        <v>8.0000000000000004E-4</v>
      </c>
    </row>
    <row r="500" spans="1:36" ht="12.95" customHeight="1" x14ac:dyDescent="0.25">
      <c r="A500" s="576"/>
      <c r="B500" s="95" t="s">
        <v>491</v>
      </c>
      <c r="C500" s="95"/>
      <c r="D500" s="94"/>
      <c r="E500" s="94"/>
      <c r="F500" s="94"/>
      <c r="G500" s="94"/>
      <c r="H500" s="94"/>
      <c r="I500" s="94"/>
      <c r="J500" s="94"/>
      <c r="K500" s="94"/>
      <c r="L500" s="99"/>
      <c r="M500" s="99"/>
      <c r="N500" s="94"/>
      <c r="O500" s="94"/>
      <c r="P500" s="94"/>
      <c r="Q500" s="105">
        <v>0.1</v>
      </c>
      <c r="R500" s="106">
        <v>0.113</v>
      </c>
      <c r="S500" s="107">
        <v>0.13600000000000001</v>
      </c>
      <c r="T500" s="106">
        <v>0.54</v>
      </c>
      <c r="U500" s="106">
        <v>0.67</v>
      </c>
      <c r="V500" s="108">
        <f>ROUND((R500*N498+T500*L498+Q500*D498),4)</f>
        <v>0.55740000000000001</v>
      </c>
      <c r="W500" s="109">
        <f>ROUND((S500*0.9*O498+U500*0.9*L498+Q500*D498),4)</f>
        <v>0.84040000000000004</v>
      </c>
      <c r="X500" s="109">
        <f>ROUND((S500*P498+U500*L498+Q500*D498),4)</f>
        <v>2.8267000000000002</v>
      </c>
      <c r="Y500" s="109">
        <f>ROUND((T500*M498+Q500*E498),4)</f>
        <v>0.10539999999999999</v>
      </c>
      <c r="Z500" s="109">
        <f>ROUND((U500*0.9*M498+Q500*E498),4)</f>
        <v>0.106</v>
      </c>
      <c r="AA500" s="109">
        <f>ROUND((U500*M498+Q500*E498),4)</f>
        <v>0.1067</v>
      </c>
      <c r="AB500" s="109">
        <f>ROUND((H498*(V500+Y500)*G498*I498/1000000),5)</f>
        <v>1.2E-4</v>
      </c>
      <c r="AC500" s="109">
        <f>ROUND((H498*(W500+Z500)*G498*J498/1000000),5)</f>
        <v>9.0000000000000006E-5</v>
      </c>
      <c r="AD500" s="109">
        <f>ROUND((H498*(X500+AA500)*G498*K498/1000000),5)</f>
        <v>2.7999999999999998E-4</v>
      </c>
      <c r="AE500" s="103" t="s">
        <v>56</v>
      </c>
      <c r="AF500" s="104" t="s">
        <v>57</v>
      </c>
      <c r="AG500" s="105">
        <f>ROUND(((X500*F498/3600)),4)</f>
        <v>8.0000000000000004E-4</v>
      </c>
      <c r="AH500" s="105">
        <f>AB500+AC500+AD500</f>
        <v>4.8999999999999998E-4</v>
      </c>
    </row>
    <row r="501" spans="1:36" ht="12.95" customHeight="1" x14ac:dyDescent="0.25">
      <c r="A501" s="576"/>
      <c r="B501" s="166"/>
      <c r="C501" s="94"/>
      <c r="D501" s="94"/>
      <c r="E501" s="94"/>
      <c r="F501" s="94"/>
      <c r="G501" s="94"/>
      <c r="H501" s="94"/>
      <c r="I501" s="94"/>
      <c r="J501" s="94"/>
      <c r="K501" s="94"/>
      <c r="L501" s="99"/>
      <c r="M501" s="99"/>
      <c r="N501" s="94"/>
      <c r="O501" s="94"/>
      <c r="P501" s="94"/>
      <c r="Q501" s="105">
        <v>0.45</v>
      </c>
      <c r="R501" s="106">
        <v>0.4</v>
      </c>
      <c r="S501" s="105">
        <v>1.1000000000000001</v>
      </c>
      <c r="T501" s="106">
        <v>1</v>
      </c>
      <c r="U501" s="106">
        <v>1.2</v>
      </c>
      <c r="V501" s="108">
        <f>ROUND((R501*N498+T501*L498+Q501*D498),4)</f>
        <v>2.06</v>
      </c>
      <c r="W501" s="109">
        <f>ROUND((S501*0.9*O498+U501*0.9*L498+Q501*D498),4)</f>
        <v>6.4008000000000003</v>
      </c>
      <c r="X501" s="109">
        <f>ROUND((S501*P498+U501*L498+Q501*D498),4)</f>
        <v>22.462</v>
      </c>
      <c r="Y501" s="109">
        <f>ROUND((T501*M498+Q501*E498),4)</f>
        <v>0.46</v>
      </c>
      <c r="Z501" s="109">
        <f>ROUND((U501*0.9*M498+Q501*E498),4)</f>
        <v>0.46079999999999999</v>
      </c>
      <c r="AA501" s="109">
        <f>ROUND((U501*M498+Q501*E498),4)</f>
        <v>0.46200000000000002</v>
      </c>
      <c r="AB501" s="109">
        <f>ROUND((H498*(V501+Y501)*G498*I498/1000000),4)</f>
        <v>5.0000000000000001E-4</v>
      </c>
      <c r="AC501" s="109">
        <f>ROUND((H498*(W501+Z501)*G498*J498/1000000),4)</f>
        <v>5.9999999999999995E-4</v>
      </c>
      <c r="AD501" s="109">
        <f>ROUND((H498*(X501+AA501)*G498*K498/1000000),4)</f>
        <v>2.2000000000000001E-3</v>
      </c>
      <c r="AE501" s="103" t="s">
        <v>177</v>
      </c>
      <c r="AF501" s="104" t="s">
        <v>178</v>
      </c>
      <c r="AG501" s="105">
        <f>ROUND(((X501*F498/3600)),4)</f>
        <v>6.1999999999999998E-3</v>
      </c>
      <c r="AH501" s="105">
        <f>AB501+AC501+AD501</f>
        <v>3.3E-3</v>
      </c>
    </row>
    <row r="502" spans="1:36" ht="12.95" customHeight="1" x14ac:dyDescent="0.25">
      <c r="A502" s="577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9"/>
      <c r="M502" s="99"/>
      <c r="N502" s="94"/>
      <c r="O502" s="94"/>
      <c r="P502" s="94"/>
      <c r="Q502" s="105">
        <v>2.9</v>
      </c>
      <c r="R502" s="106">
        <v>3</v>
      </c>
      <c r="S502" s="105">
        <v>8.1999999999999993</v>
      </c>
      <c r="T502" s="106">
        <v>6.1</v>
      </c>
      <c r="U502" s="106">
        <v>7.4</v>
      </c>
      <c r="V502" s="167">
        <f>ROUND((R502*N498+T502*L498+Q502*D498),4)</f>
        <v>14.961</v>
      </c>
      <c r="W502" s="168">
        <f>ROUND((S502*0.9*O498+U502*0.9*L498+Q502*D498),4)</f>
        <v>47.246600000000001</v>
      </c>
      <c r="X502" s="168">
        <f>ROUND((S502*P498+U502*L498+Q502*D498),4)</f>
        <v>166.97399999999999</v>
      </c>
      <c r="Y502" s="168">
        <f>ROUND((T502*M498+Q502*E498),4)</f>
        <v>2.9609999999999999</v>
      </c>
      <c r="Z502" s="168">
        <f>ROUND((U502*0.9*M498+Q502*E498),4)</f>
        <v>2.9666000000000001</v>
      </c>
      <c r="AA502" s="168">
        <f>ROUND((U502*M498+Q502*E498),4)</f>
        <v>2.9740000000000002</v>
      </c>
      <c r="AB502" s="168">
        <f>ROUND((H498*(V502+Y502)*G498*I498/1000000),4)</f>
        <v>3.2000000000000002E-3</v>
      </c>
      <c r="AC502" s="168">
        <f>ROUND((H498*(W502+Z502)*G498*J498/1000000),4)</f>
        <v>4.4999999999999997E-3</v>
      </c>
      <c r="AD502" s="168">
        <f>ROUND((H498*(X502+AA502)*G498*K498/1000000),4)</f>
        <v>1.61E-2</v>
      </c>
      <c r="AE502" s="103" t="s">
        <v>65</v>
      </c>
      <c r="AF502" s="104" t="s">
        <v>66</v>
      </c>
      <c r="AG502" s="105">
        <f>ROUND(((X502*F498/3600)),4)</f>
        <v>4.6399999999999997E-2</v>
      </c>
      <c r="AH502" s="105">
        <f>AB502+AC502+AD502</f>
        <v>2.3800000000000002E-2</v>
      </c>
    </row>
    <row r="503" spans="1:36" ht="12.95" customHeight="1" x14ac:dyDescent="0.25">
      <c r="A503" s="581"/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  <c r="L503" s="102"/>
      <c r="M503" s="102"/>
      <c r="N503" s="101"/>
      <c r="O503" s="101"/>
      <c r="P503" s="101"/>
      <c r="Q503" s="105">
        <v>0.04</v>
      </c>
      <c r="R503" s="106">
        <v>0.04</v>
      </c>
      <c r="S503" s="105">
        <v>0.16</v>
      </c>
      <c r="T503" s="106">
        <v>0.3</v>
      </c>
      <c r="U503" s="106">
        <v>0.4</v>
      </c>
      <c r="V503" s="167">
        <f>ROUND((R503*N498+T503*L498+Q503*D498),4)</f>
        <v>0.20300000000000001</v>
      </c>
      <c r="W503" s="168">
        <f>ROUND((S503*0.9*O498+U503*0.9*L498+Q503*D498),4)</f>
        <v>0.90759999999999996</v>
      </c>
      <c r="X503" s="168">
        <f>ROUND((S503*P498+U503*L498+Q503*D498),4)</f>
        <v>3.2440000000000002</v>
      </c>
      <c r="Y503" s="168">
        <f>ROUND((T503*M498+Q503*E498),4)</f>
        <v>4.2999999999999997E-2</v>
      </c>
      <c r="Z503" s="168">
        <f>ROUND((U503*0.9*M498+Q503*E498),4)</f>
        <v>4.36E-2</v>
      </c>
      <c r="AA503" s="168">
        <f>ROUND((U503*M498+Q503*E498),4)</f>
        <v>4.3999999999999997E-2</v>
      </c>
      <c r="AB503" s="168">
        <f>ROUND((H498*(V503+Y503)*G498*I498/1000000),5)</f>
        <v>4.0000000000000003E-5</v>
      </c>
      <c r="AC503" s="168">
        <f>ROUND((H498*(W503+Z503)*G498*J498/1000000),5)</f>
        <v>9.0000000000000006E-5</v>
      </c>
      <c r="AD503" s="168">
        <f>ROUND((H498*(X503+AA503)*G498*K498/1000000),4)</f>
        <v>2.9999999999999997E-4</v>
      </c>
      <c r="AE503" s="103" t="s">
        <v>213</v>
      </c>
      <c r="AF503" s="104" t="s">
        <v>62</v>
      </c>
      <c r="AG503" s="105">
        <f>ROUND(((X503*F498/3600)),4)</f>
        <v>8.9999999999999998E-4</v>
      </c>
      <c r="AH503" s="105">
        <f>AB503+AC503+AD503</f>
        <v>4.2999999999999999E-4</v>
      </c>
      <c r="AI503" s="61">
        <f>SUM(AG498:AG503)</f>
        <v>6.4899999999999999E-2</v>
      </c>
      <c r="AJ503" s="61">
        <f>SUM(AH498:AH503)</f>
        <v>3.3920000000000006E-2</v>
      </c>
    </row>
    <row r="504" spans="1:36" ht="12.95" customHeight="1" x14ac:dyDescent="0.25">
      <c r="A504" s="1518" t="s">
        <v>1015</v>
      </c>
      <c r="B504" s="1519"/>
      <c r="C504" s="1519"/>
      <c r="D504" s="1519"/>
      <c r="E504" s="1519"/>
      <c r="F504" s="1519"/>
      <c r="G504" s="1519"/>
      <c r="H504" s="1519"/>
      <c r="I504" s="1519"/>
      <c r="J504" s="1519"/>
      <c r="K504" s="1519"/>
      <c r="L504" s="1519"/>
      <c r="M504" s="1519"/>
      <c r="N504" s="1519"/>
      <c r="O504" s="1519"/>
      <c r="P504" s="1519"/>
      <c r="Q504" s="1519"/>
      <c r="R504" s="1519"/>
      <c r="S504" s="1519"/>
      <c r="T504" s="1520"/>
      <c r="U504" s="1520"/>
      <c r="V504" s="1519"/>
      <c r="W504" s="1519"/>
      <c r="X504" s="1519"/>
      <c r="Y504" s="1519"/>
      <c r="Z504" s="1519"/>
      <c r="AA504" s="1519"/>
      <c r="AB504" s="1519"/>
      <c r="AC504" s="1519"/>
      <c r="AD504" s="1519"/>
      <c r="AE504" s="1519"/>
      <c r="AF504" s="1519"/>
      <c r="AG504" s="1519"/>
      <c r="AH504" s="1521"/>
    </row>
    <row r="505" spans="1:36" ht="12.95" customHeight="1" x14ac:dyDescent="0.25">
      <c r="A505" s="574" t="s">
        <v>603</v>
      </c>
      <c r="B505" s="93" t="s">
        <v>211</v>
      </c>
      <c r="C505" s="1109" t="s">
        <v>444</v>
      </c>
      <c r="D505" s="97">
        <v>1</v>
      </c>
      <c r="E505" s="97">
        <v>1</v>
      </c>
      <c r="F505" s="97">
        <v>1</v>
      </c>
      <c r="G505" s="97">
        <v>1</v>
      </c>
      <c r="H505" s="97">
        <f>ROUND((F505/G505),2)</f>
        <v>1</v>
      </c>
      <c r="I505" s="97">
        <v>173</v>
      </c>
      <c r="J505" s="97">
        <v>0</v>
      </c>
      <c r="K505" s="98">
        <v>0</v>
      </c>
      <c r="L505" s="98">
        <v>0.01</v>
      </c>
      <c r="M505" s="98">
        <v>0.01</v>
      </c>
      <c r="N505" s="97">
        <v>4</v>
      </c>
      <c r="O505" s="97">
        <v>6</v>
      </c>
      <c r="P505" s="97">
        <v>20</v>
      </c>
      <c r="Q505" s="97">
        <v>1</v>
      </c>
      <c r="R505" s="96">
        <v>1</v>
      </c>
      <c r="S505" s="97">
        <v>2</v>
      </c>
      <c r="T505" s="96">
        <v>4</v>
      </c>
      <c r="U505" s="96">
        <v>4</v>
      </c>
      <c r="V505" s="108">
        <f>ROUND((R505*N505+T505*L505+Q505*D505),4)</f>
        <v>5.04</v>
      </c>
      <c r="W505" s="109">
        <f>ROUND((S505*O505+U505*L505+Q505*D505),4)</f>
        <v>13.04</v>
      </c>
      <c r="X505" s="109">
        <f>ROUND((S505*P505+U505*L505+Q505*D505),4)</f>
        <v>41.04</v>
      </c>
      <c r="Y505" s="109">
        <f>ROUND((T505*M505+Q505*E505),4)</f>
        <v>1.04</v>
      </c>
      <c r="Z505" s="109">
        <f>ROUND((U505*M505+Q505*E505),4)</f>
        <v>1.04</v>
      </c>
      <c r="AA505" s="109">
        <f>ROUND((U505*M505+Q505*E505),4)</f>
        <v>1.04</v>
      </c>
      <c r="AB505" s="109">
        <f>ROUND((H505*(V505+Y505)*G505*I505/1000000),4)</f>
        <v>1.1000000000000001E-3</v>
      </c>
      <c r="AC505" s="109">
        <f>ROUND((H505*(W505+Z505)*G505*J505/1000000),4)</f>
        <v>0</v>
      </c>
      <c r="AD505" s="109">
        <f>ROUND((H505*(X505+AA505)*G505*K505/1000000),4)</f>
        <v>0</v>
      </c>
      <c r="AE505" s="103" t="s">
        <v>48</v>
      </c>
      <c r="AF505" s="104" t="s">
        <v>49</v>
      </c>
      <c r="AG505" s="105">
        <f>ROUND(((X505*F505/3600)*0.8),4)</f>
        <v>9.1000000000000004E-3</v>
      </c>
      <c r="AH505" s="105">
        <f>ROUND(((AB505+AC505+AD505)*0.8),4)</f>
        <v>8.9999999999999998E-4</v>
      </c>
    </row>
    <row r="506" spans="1:36" ht="12.95" customHeight="1" x14ac:dyDescent="0.25">
      <c r="A506" s="575" t="s">
        <v>150</v>
      </c>
      <c r="B506" s="94" t="s">
        <v>212</v>
      </c>
      <c r="C506" s="1110"/>
      <c r="D506" s="94"/>
      <c r="E506" s="94"/>
      <c r="F506" s="94"/>
      <c r="G506" s="94"/>
      <c r="H506" s="94"/>
      <c r="I506" s="94"/>
      <c r="J506" s="94"/>
      <c r="K506" s="94"/>
      <c r="L506" s="99"/>
      <c r="M506" s="99"/>
      <c r="N506" s="94"/>
      <c r="O506" s="94"/>
      <c r="P506" s="94"/>
      <c r="Q506" s="101"/>
      <c r="R506" s="101"/>
      <c r="S506" s="102"/>
      <c r="T506" s="101"/>
      <c r="U506" s="101"/>
      <c r="V506" s="110"/>
      <c r="W506" s="111"/>
      <c r="X506" s="111"/>
      <c r="Y506" s="111"/>
      <c r="Z506" s="111"/>
      <c r="AA506" s="111"/>
      <c r="AB506" s="111"/>
      <c r="AC506" s="111"/>
      <c r="AD506" s="111"/>
      <c r="AE506" s="103" t="s">
        <v>51</v>
      </c>
      <c r="AF506" s="104" t="s">
        <v>52</v>
      </c>
      <c r="AG506" s="105">
        <f>ROUND(((X505*F505/3600)*0.13),4)</f>
        <v>1.5E-3</v>
      </c>
      <c r="AH506" s="105">
        <f>ROUND(((AB505+AC505+AD505)*0.13),4)</f>
        <v>1E-4</v>
      </c>
    </row>
    <row r="507" spans="1:36" ht="12.95" customHeight="1" x14ac:dyDescent="0.25">
      <c r="A507" s="576"/>
      <c r="B507" s="95" t="s">
        <v>491</v>
      </c>
      <c r="C507" s="95"/>
      <c r="D507" s="94"/>
      <c r="E507" s="94"/>
      <c r="F507" s="94"/>
      <c r="G507" s="94"/>
      <c r="H507" s="94"/>
      <c r="I507" s="94"/>
      <c r="J507" s="94"/>
      <c r="K507" s="94"/>
      <c r="L507" s="99"/>
      <c r="M507" s="99"/>
      <c r="N507" s="94"/>
      <c r="O507" s="94"/>
      <c r="P507" s="94"/>
      <c r="Q507" s="105">
        <v>0.1</v>
      </c>
      <c r="R507" s="106">
        <v>0.113</v>
      </c>
      <c r="S507" s="107">
        <v>0.13600000000000001</v>
      </c>
      <c r="T507" s="106">
        <v>0.54</v>
      </c>
      <c r="U507" s="106">
        <v>0.67</v>
      </c>
      <c r="V507" s="108">
        <f>ROUND((R507*N505+T507*L505+Q507*D505),4)</f>
        <v>0.55740000000000001</v>
      </c>
      <c r="W507" s="109">
        <f>ROUND((S507*0.9*O505+U507*0.9*L505+Q507*D505),4)</f>
        <v>0.84040000000000004</v>
      </c>
      <c r="X507" s="109">
        <f>ROUND((S507*P505+U507*L505+Q507*D505),4)</f>
        <v>2.8267000000000002</v>
      </c>
      <c r="Y507" s="109">
        <f>ROUND((T507*M505+Q507*E505),4)</f>
        <v>0.10539999999999999</v>
      </c>
      <c r="Z507" s="109">
        <f>ROUND((U507*0.9*M505+Q507*E505),4)</f>
        <v>0.106</v>
      </c>
      <c r="AA507" s="109">
        <f>ROUND((U507*M505+Q507*E505),4)</f>
        <v>0.1067</v>
      </c>
      <c r="AB507" s="109">
        <f>ROUND((H505*(V507+Y507)*G505*I505/1000000),5)</f>
        <v>1.1E-4</v>
      </c>
      <c r="AC507" s="109">
        <f>ROUND((H505*(W507+Z507)*G505*J505/1000000),5)</f>
        <v>0</v>
      </c>
      <c r="AD507" s="109">
        <f>ROUND((H505*(X507+AA507)*G505*K505/1000000),5)</f>
        <v>0</v>
      </c>
      <c r="AE507" s="103" t="s">
        <v>56</v>
      </c>
      <c r="AF507" s="104" t="s">
        <v>57</v>
      </c>
      <c r="AG507" s="105">
        <f>ROUND(((X507*F505/3600)),4)</f>
        <v>8.0000000000000004E-4</v>
      </c>
      <c r="AH507" s="105">
        <f>AB507+AC507+AD507</f>
        <v>1.1E-4</v>
      </c>
    </row>
    <row r="508" spans="1:36" ht="12.95" customHeight="1" x14ac:dyDescent="0.25">
      <c r="A508" s="576"/>
      <c r="B508" s="166"/>
      <c r="C508" s="94"/>
      <c r="D508" s="94"/>
      <c r="E508" s="94"/>
      <c r="F508" s="94"/>
      <c r="G508" s="94"/>
      <c r="H508" s="94"/>
      <c r="I508" s="94"/>
      <c r="J508" s="94"/>
      <c r="K508" s="94"/>
      <c r="L508" s="99"/>
      <c r="M508" s="99"/>
      <c r="N508" s="94"/>
      <c r="O508" s="94"/>
      <c r="P508" s="94"/>
      <c r="Q508" s="105">
        <v>0.45</v>
      </c>
      <c r="R508" s="106">
        <v>0.4</v>
      </c>
      <c r="S508" s="105">
        <v>1.1000000000000001</v>
      </c>
      <c r="T508" s="106">
        <v>1</v>
      </c>
      <c r="U508" s="106">
        <v>1.2</v>
      </c>
      <c r="V508" s="108">
        <f>ROUND((R508*N505+T508*L505+Q508*D505),4)</f>
        <v>2.06</v>
      </c>
      <c r="W508" s="109">
        <f>ROUND((S508*0.9*O505+U508*0.9*L505+Q508*D505),4)</f>
        <v>6.4008000000000003</v>
      </c>
      <c r="X508" s="109">
        <f>ROUND((S508*P505+U508*L505+Q508*D505),4)</f>
        <v>22.462</v>
      </c>
      <c r="Y508" s="109">
        <f>ROUND((T508*M505+Q508*E505),4)</f>
        <v>0.46</v>
      </c>
      <c r="Z508" s="109">
        <f>ROUND((U508*0.9*M505+Q508*E505),4)</f>
        <v>0.46079999999999999</v>
      </c>
      <c r="AA508" s="109">
        <f>ROUND((U508*M505+Q508*E505),4)</f>
        <v>0.46200000000000002</v>
      </c>
      <c r="AB508" s="109">
        <f>ROUND((H505*(V508+Y508)*G505*I505/1000000),4)</f>
        <v>4.0000000000000002E-4</v>
      </c>
      <c r="AC508" s="109">
        <f>ROUND((H505*(W508+Z508)*G505*J505/1000000),4)</f>
        <v>0</v>
      </c>
      <c r="AD508" s="109">
        <f>ROUND((H505*(X508+AA508)*G505*K505/1000000),4)</f>
        <v>0</v>
      </c>
      <c r="AE508" s="103" t="s">
        <v>177</v>
      </c>
      <c r="AF508" s="104" t="s">
        <v>178</v>
      </c>
      <c r="AG508" s="105">
        <f>ROUND(((X508*F505/3600)),4)</f>
        <v>6.1999999999999998E-3</v>
      </c>
      <c r="AH508" s="105">
        <f>AB508+AC508+AD508</f>
        <v>4.0000000000000002E-4</v>
      </c>
    </row>
    <row r="509" spans="1:36" ht="12.95" customHeight="1" x14ac:dyDescent="0.25">
      <c r="A509" s="577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9"/>
      <c r="M509" s="99"/>
      <c r="N509" s="94"/>
      <c r="O509" s="94"/>
      <c r="P509" s="94"/>
      <c r="Q509" s="105">
        <v>2.9</v>
      </c>
      <c r="R509" s="106">
        <v>3</v>
      </c>
      <c r="S509" s="105">
        <v>8.1999999999999993</v>
      </c>
      <c r="T509" s="106">
        <v>6.1</v>
      </c>
      <c r="U509" s="106">
        <v>7.4</v>
      </c>
      <c r="V509" s="167">
        <f>ROUND((R509*N505+T509*L505+Q509*D505),4)</f>
        <v>14.961</v>
      </c>
      <c r="W509" s="168">
        <f>ROUND((S509*0.9*O505+U509*0.9*L505+Q509*D505),4)</f>
        <v>47.246600000000001</v>
      </c>
      <c r="X509" s="168">
        <f>ROUND((S509*P505+U509*L505+Q509*D505),4)</f>
        <v>166.97399999999999</v>
      </c>
      <c r="Y509" s="168">
        <f>ROUND((T509*M505+Q509*E505),4)</f>
        <v>2.9609999999999999</v>
      </c>
      <c r="Z509" s="168">
        <f>ROUND((U509*0.9*M505+Q509*E505),4)</f>
        <v>2.9666000000000001</v>
      </c>
      <c r="AA509" s="168">
        <f>ROUND((U509*M505+Q509*E505),4)</f>
        <v>2.9740000000000002</v>
      </c>
      <c r="AB509" s="168">
        <f>ROUND((H505*(V509+Y509)*G505*I505/1000000),4)</f>
        <v>3.0999999999999999E-3</v>
      </c>
      <c r="AC509" s="168">
        <f>ROUND((H505*(W509+Z509)*G505*J505/1000000),4)</f>
        <v>0</v>
      </c>
      <c r="AD509" s="168">
        <f>ROUND((H505*(X509+AA509)*G505*K505/1000000),4)</f>
        <v>0</v>
      </c>
      <c r="AE509" s="103" t="s">
        <v>65</v>
      </c>
      <c r="AF509" s="104" t="s">
        <v>66</v>
      </c>
      <c r="AG509" s="105">
        <f>ROUND(((X509*F505/3600)),4)</f>
        <v>4.6399999999999997E-2</v>
      </c>
      <c r="AH509" s="105">
        <f>AB509+AC509+AD509</f>
        <v>3.0999999999999999E-3</v>
      </c>
    </row>
    <row r="510" spans="1:36" ht="12.95" customHeight="1" x14ac:dyDescent="0.25">
      <c r="A510" s="581"/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  <c r="L510" s="102"/>
      <c r="M510" s="102"/>
      <c r="N510" s="101"/>
      <c r="O510" s="101"/>
      <c r="P510" s="101"/>
      <c r="Q510" s="105">
        <v>0.04</v>
      </c>
      <c r="R510" s="106">
        <v>0.04</v>
      </c>
      <c r="S510" s="105">
        <v>0.16</v>
      </c>
      <c r="T510" s="106">
        <v>0.3</v>
      </c>
      <c r="U510" s="106">
        <v>0.4</v>
      </c>
      <c r="V510" s="167">
        <f>ROUND((R510*N505+T510*L505+Q510*D505),4)</f>
        <v>0.20300000000000001</v>
      </c>
      <c r="W510" s="168">
        <f>ROUND((S510*0.9*O505+U510*0.9*L505+Q510*D505),4)</f>
        <v>0.90759999999999996</v>
      </c>
      <c r="X510" s="168">
        <f>ROUND((S510*P505+U510*L505+Q510*D505),4)</f>
        <v>3.2440000000000002</v>
      </c>
      <c r="Y510" s="168">
        <f>ROUND((T510*M505+Q510*E505),4)</f>
        <v>4.2999999999999997E-2</v>
      </c>
      <c r="Z510" s="168">
        <f>ROUND((U510*0.9*M505+Q510*E505),4)</f>
        <v>4.36E-2</v>
      </c>
      <c r="AA510" s="168">
        <f>ROUND((U510*M505+Q510*E505),4)</f>
        <v>4.3999999999999997E-2</v>
      </c>
      <c r="AB510" s="168">
        <f>ROUND((H505*(V510+Y510)*G505*I505/1000000),5)</f>
        <v>4.0000000000000003E-5</v>
      </c>
      <c r="AC510" s="168">
        <f>ROUND((H505*(W510+Z510)*G505*J505/1000000),5)</f>
        <v>0</v>
      </c>
      <c r="AD510" s="168">
        <f>ROUND((H505*(X510+AA510)*G505*K505/1000000),4)</f>
        <v>0</v>
      </c>
      <c r="AE510" s="103" t="s">
        <v>213</v>
      </c>
      <c r="AF510" s="104" t="s">
        <v>62</v>
      </c>
      <c r="AG510" s="105">
        <f>ROUND(((X510*F505/3600)),4)</f>
        <v>8.9999999999999998E-4</v>
      </c>
      <c r="AH510" s="105">
        <f>AB510+AC510+AD510</f>
        <v>4.0000000000000003E-5</v>
      </c>
      <c r="AI510" s="61">
        <f>SUM(AG505:AG510)</f>
        <v>6.4899999999999999E-2</v>
      </c>
      <c r="AJ510" s="61">
        <f>SUM(AH505:AH510)</f>
        <v>4.6499999999999996E-3</v>
      </c>
    </row>
    <row r="511" spans="1:36" ht="12.95" customHeight="1" x14ac:dyDescent="0.25">
      <c r="A511" s="1518" t="s">
        <v>1016</v>
      </c>
      <c r="B511" s="1519"/>
      <c r="C511" s="1519"/>
      <c r="D511" s="1519"/>
      <c r="E511" s="1519"/>
      <c r="F511" s="1519"/>
      <c r="G511" s="1519"/>
      <c r="H511" s="1519"/>
      <c r="I511" s="1519"/>
      <c r="J511" s="1519"/>
      <c r="K511" s="1519"/>
      <c r="L511" s="1519"/>
      <c r="M511" s="1519"/>
      <c r="N511" s="1519"/>
      <c r="O511" s="1519"/>
      <c r="P511" s="1519"/>
      <c r="Q511" s="1519"/>
      <c r="R511" s="1519"/>
      <c r="S511" s="1519"/>
      <c r="T511" s="1520"/>
      <c r="U511" s="1520"/>
      <c r="V511" s="1519"/>
      <c r="W511" s="1519"/>
      <c r="X511" s="1519"/>
      <c r="Y511" s="1519"/>
      <c r="Z511" s="1519"/>
      <c r="AA511" s="1519"/>
      <c r="AB511" s="1519"/>
      <c r="AC511" s="1519"/>
      <c r="AD511" s="1519"/>
      <c r="AE511" s="1519"/>
      <c r="AF511" s="1519"/>
      <c r="AG511" s="1519"/>
      <c r="AH511" s="1521"/>
    </row>
    <row r="512" spans="1:36" ht="12.95" customHeight="1" x14ac:dyDescent="0.25">
      <c r="A512" s="574" t="s">
        <v>679</v>
      </c>
      <c r="B512" s="93" t="s">
        <v>211</v>
      </c>
      <c r="C512" s="1109" t="s">
        <v>444</v>
      </c>
      <c r="D512" s="97">
        <v>1</v>
      </c>
      <c r="E512" s="97">
        <v>1</v>
      </c>
      <c r="F512" s="97">
        <v>1</v>
      </c>
      <c r="G512" s="97">
        <v>1</v>
      </c>
      <c r="H512" s="97">
        <f>ROUND((F512/G512),2)</f>
        <v>1</v>
      </c>
      <c r="I512" s="97">
        <v>173</v>
      </c>
      <c r="J512" s="97">
        <v>0</v>
      </c>
      <c r="K512" s="98">
        <v>0</v>
      </c>
      <c r="L512" s="98">
        <v>0.01</v>
      </c>
      <c r="M512" s="98">
        <v>0.01</v>
      </c>
      <c r="N512" s="97">
        <v>4</v>
      </c>
      <c r="O512" s="97">
        <v>6</v>
      </c>
      <c r="P512" s="97">
        <v>20</v>
      </c>
      <c r="Q512" s="97">
        <v>1</v>
      </c>
      <c r="R512" s="96">
        <v>1</v>
      </c>
      <c r="S512" s="97">
        <v>2</v>
      </c>
      <c r="T512" s="96">
        <v>4</v>
      </c>
      <c r="U512" s="96">
        <v>4</v>
      </c>
      <c r="V512" s="108">
        <f>ROUND((R512*N512+T512*L512+Q512*D512),4)</f>
        <v>5.04</v>
      </c>
      <c r="W512" s="109">
        <f>ROUND((S512*O512+U512*L512+Q512*D512),4)</f>
        <v>13.04</v>
      </c>
      <c r="X512" s="109">
        <f>ROUND((S512*P512+U512*L512+Q512*D512),4)</f>
        <v>41.04</v>
      </c>
      <c r="Y512" s="109">
        <f>ROUND((T512*M512+Q512*E512),4)</f>
        <v>1.04</v>
      </c>
      <c r="Z512" s="109">
        <f>ROUND((U512*M512+Q512*E512),4)</f>
        <v>1.04</v>
      </c>
      <c r="AA512" s="109">
        <f>ROUND((U512*M512+Q512*E512),4)</f>
        <v>1.04</v>
      </c>
      <c r="AB512" s="109">
        <f>ROUND((H512*(V512+Y512)*G512*I512/1000000),4)</f>
        <v>1.1000000000000001E-3</v>
      </c>
      <c r="AC512" s="109">
        <f>ROUND((H512*(W512+Z512)*G512*J512/1000000),4)</f>
        <v>0</v>
      </c>
      <c r="AD512" s="109">
        <f>ROUND((H512*(X512+AA512)*G512*K512/1000000),4)</f>
        <v>0</v>
      </c>
      <c r="AE512" s="103" t="s">
        <v>48</v>
      </c>
      <c r="AF512" s="104" t="s">
        <v>49</v>
      </c>
      <c r="AG512" s="105">
        <f>ROUND(((X512*F512/3600)*0.8),4)</f>
        <v>9.1000000000000004E-3</v>
      </c>
      <c r="AH512" s="105">
        <f>ROUND(((AB512+AC512+AD512)*0.8),4)</f>
        <v>8.9999999999999998E-4</v>
      </c>
    </row>
    <row r="513" spans="1:36" ht="12.95" customHeight="1" x14ac:dyDescent="0.25">
      <c r="A513" s="575" t="s">
        <v>150</v>
      </c>
      <c r="B513" s="94" t="s">
        <v>212</v>
      </c>
      <c r="C513" s="1110"/>
      <c r="D513" s="94"/>
      <c r="E513" s="94"/>
      <c r="F513" s="94"/>
      <c r="G513" s="94"/>
      <c r="H513" s="94"/>
      <c r="I513" s="94"/>
      <c r="J513" s="94"/>
      <c r="K513" s="94"/>
      <c r="L513" s="99"/>
      <c r="M513" s="99"/>
      <c r="N513" s="94"/>
      <c r="O513" s="94"/>
      <c r="P513" s="94"/>
      <c r="Q513" s="101"/>
      <c r="R513" s="101"/>
      <c r="S513" s="102"/>
      <c r="T513" s="101"/>
      <c r="U513" s="101"/>
      <c r="V513" s="110"/>
      <c r="W513" s="111"/>
      <c r="X513" s="111"/>
      <c r="Y513" s="111"/>
      <c r="Z513" s="111"/>
      <c r="AA513" s="111"/>
      <c r="AB513" s="111"/>
      <c r="AC513" s="111"/>
      <c r="AD513" s="111"/>
      <c r="AE513" s="103" t="s">
        <v>51</v>
      </c>
      <c r="AF513" s="104" t="s">
        <v>52</v>
      </c>
      <c r="AG513" s="105">
        <f>ROUND(((X512*F512/3600)*0.13),4)</f>
        <v>1.5E-3</v>
      </c>
      <c r="AH513" s="105">
        <f>ROUND(((AB512+AC512+AD512)*0.13),4)</f>
        <v>1E-4</v>
      </c>
    </row>
    <row r="514" spans="1:36" ht="12.95" customHeight="1" x14ac:dyDescent="0.25">
      <c r="A514" s="576"/>
      <c r="B514" s="95" t="s">
        <v>491</v>
      </c>
      <c r="C514" s="95"/>
      <c r="D514" s="94"/>
      <c r="E514" s="94"/>
      <c r="F514" s="94"/>
      <c r="G514" s="94"/>
      <c r="H514" s="94"/>
      <c r="I514" s="94"/>
      <c r="J514" s="94"/>
      <c r="K514" s="94"/>
      <c r="L514" s="99"/>
      <c r="M514" s="99"/>
      <c r="N514" s="94"/>
      <c r="O514" s="94"/>
      <c r="P514" s="94"/>
      <c r="Q514" s="105">
        <v>0.1</v>
      </c>
      <c r="R514" s="106">
        <v>0.113</v>
      </c>
      <c r="S514" s="107">
        <v>0.13600000000000001</v>
      </c>
      <c r="T514" s="106">
        <v>0.54</v>
      </c>
      <c r="U514" s="106">
        <v>0.67</v>
      </c>
      <c r="V514" s="108">
        <f>ROUND((R514*N512+T514*L512+Q514*D512),4)</f>
        <v>0.55740000000000001</v>
      </c>
      <c r="W514" s="109">
        <f>ROUND((S514*0.9*O512+U514*0.9*L512+Q514*D512),4)</f>
        <v>0.84040000000000004</v>
      </c>
      <c r="X514" s="109">
        <f>ROUND((S514*P512+U514*L512+Q514*D512),4)</f>
        <v>2.8267000000000002</v>
      </c>
      <c r="Y514" s="109">
        <f>ROUND((T514*M512+Q514*E512),4)</f>
        <v>0.10539999999999999</v>
      </c>
      <c r="Z514" s="109">
        <f>ROUND((U514*0.9*M512+Q514*E512),4)</f>
        <v>0.106</v>
      </c>
      <c r="AA514" s="109">
        <f>ROUND((U514*M512+Q514*E512),4)</f>
        <v>0.1067</v>
      </c>
      <c r="AB514" s="109">
        <f>ROUND((H512*(V514+Y514)*G512*I512/1000000),5)</f>
        <v>1.1E-4</v>
      </c>
      <c r="AC514" s="109">
        <f>ROUND((H512*(W514+Z514)*G512*J512/1000000),5)</f>
        <v>0</v>
      </c>
      <c r="AD514" s="109">
        <f>ROUND((H512*(X514+AA514)*G512*K512/1000000),5)</f>
        <v>0</v>
      </c>
      <c r="AE514" s="103" t="s">
        <v>56</v>
      </c>
      <c r="AF514" s="104" t="s">
        <v>57</v>
      </c>
      <c r="AG514" s="105">
        <f>ROUND(((X514*F512/3600)),4)</f>
        <v>8.0000000000000004E-4</v>
      </c>
      <c r="AH514" s="105">
        <f>AB514+AC514+AD514</f>
        <v>1.1E-4</v>
      </c>
    </row>
    <row r="515" spans="1:36" ht="12.95" customHeight="1" x14ac:dyDescent="0.25">
      <c r="A515" s="576"/>
      <c r="B515" s="166"/>
      <c r="C515" s="94"/>
      <c r="D515" s="94"/>
      <c r="E515" s="94"/>
      <c r="F515" s="94"/>
      <c r="G515" s="94"/>
      <c r="H515" s="94"/>
      <c r="I515" s="94"/>
      <c r="J515" s="94"/>
      <c r="K515" s="94"/>
      <c r="L515" s="99"/>
      <c r="M515" s="99"/>
      <c r="N515" s="94"/>
      <c r="O515" s="94"/>
      <c r="P515" s="94"/>
      <c r="Q515" s="105">
        <v>0.45</v>
      </c>
      <c r="R515" s="106">
        <v>0.4</v>
      </c>
      <c r="S515" s="105">
        <v>1.1000000000000001</v>
      </c>
      <c r="T515" s="106">
        <v>1</v>
      </c>
      <c r="U515" s="106">
        <v>1.2</v>
      </c>
      <c r="V515" s="108">
        <f>ROUND((R515*N512+T515*L512+Q515*D512),4)</f>
        <v>2.06</v>
      </c>
      <c r="W515" s="109">
        <f>ROUND((S515*0.9*O512+U515*0.9*L512+Q515*D512),4)</f>
        <v>6.4008000000000003</v>
      </c>
      <c r="X515" s="109">
        <f>ROUND((S515*P512+U515*L512+Q515*D512),4)</f>
        <v>22.462</v>
      </c>
      <c r="Y515" s="109">
        <f>ROUND((T515*M512+Q515*E512),4)</f>
        <v>0.46</v>
      </c>
      <c r="Z515" s="109">
        <f>ROUND((U515*0.9*M512+Q515*E512),4)</f>
        <v>0.46079999999999999</v>
      </c>
      <c r="AA515" s="109">
        <f>ROUND((U515*M512+Q515*E512),4)</f>
        <v>0.46200000000000002</v>
      </c>
      <c r="AB515" s="109">
        <f>ROUND((H512*(V515+Y515)*G512*I512/1000000),4)</f>
        <v>4.0000000000000002E-4</v>
      </c>
      <c r="AC515" s="109">
        <f>ROUND((H512*(W515+Z515)*G512*J512/1000000),4)</f>
        <v>0</v>
      </c>
      <c r="AD515" s="109">
        <f>ROUND((H512*(X515+AA515)*G512*K512/1000000),4)</f>
        <v>0</v>
      </c>
      <c r="AE515" s="103" t="s">
        <v>177</v>
      </c>
      <c r="AF515" s="104" t="s">
        <v>178</v>
      </c>
      <c r="AG515" s="105">
        <f>ROUND(((X515*F512/3600)),4)</f>
        <v>6.1999999999999998E-3</v>
      </c>
      <c r="AH515" s="105">
        <f>AB515+AC515+AD515</f>
        <v>4.0000000000000002E-4</v>
      </c>
    </row>
    <row r="516" spans="1:36" ht="12.95" customHeight="1" x14ac:dyDescent="0.25">
      <c r="A516" s="577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9"/>
      <c r="M516" s="99"/>
      <c r="N516" s="94"/>
      <c r="O516" s="94"/>
      <c r="P516" s="94"/>
      <c r="Q516" s="105">
        <v>2.9</v>
      </c>
      <c r="R516" s="106">
        <v>3</v>
      </c>
      <c r="S516" s="105">
        <v>8.1999999999999993</v>
      </c>
      <c r="T516" s="106">
        <v>6.1</v>
      </c>
      <c r="U516" s="106">
        <v>7.4</v>
      </c>
      <c r="V516" s="167">
        <f>ROUND((R516*N512+T516*L512+Q516*D512),4)</f>
        <v>14.961</v>
      </c>
      <c r="W516" s="168">
        <f>ROUND((S516*0.9*O512+U516*0.9*L512+Q516*D512),4)</f>
        <v>47.246600000000001</v>
      </c>
      <c r="X516" s="168">
        <f>ROUND((S516*P512+U516*L512+Q516*D512),4)</f>
        <v>166.97399999999999</v>
      </c>
      <c r="Y516" s="168">
        <f>ROUND((T516*M512+Q516*E512),4)</f>
        <v>2.9609999999999999</v>
      </c>
      <c r="Z516" s="168">
        <f>ROUND((U516*0.9*M512+Q516*E512),4)</f>
        <v>2.9666000000000001</v>
      </c>
      <c r="AA516" s="168">
        <f>ROUND((U516*M512+Q516*E512),4)</f>
        <v>2.9740000000000002</v>
      </c>
      <c r="AB516" s="168">
        <f>ROUND((H512*(V516+Y516)*G512*I512/1000000),4)</f>
        <v>3.0999999999999999E-3</v>
      </c>
      <c r="AC516" s="168">
        <f>ROUND((H512*(W516+Z516)*G512*J512/1000000),4)</f>
        <v>0</v>
      </c>
      <c r="AD516" s="168">
        <f>ROUND((H512*(X516+AA516)*G512*K512/1000000),4)</f>
        <v>0</v>
      </c>
      <c r="AE516" s="103" t="s">
        <v>65</v>
      </c>
      <c r="AF516" s="104" t="s">
        <v>66</v>
      </c>
      <c r="AG516" s="105">
        <f>ROUND(((X516*F512/3600)),4)</f>
        <v>4.6399999999999997E-2</v>
      </c>
      <c r="AH516" s="105">
        <f>AB516+AC516+AD516</f>
        <v>3.0999999999999999E-3</v>
      </c>
    </row>
    <row r="517" spans="1:36" ht="12.95" customHeight="1" x14ac:dyDescent="0.25">
      <c r="A517" s="581"/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  <c r="L517" s="102"/>
      <c r="M517" s="102"/>
      <c r="N517" s="101"/>
      <c r="O517" s="101"/>
      <c r="P517" s="101"/>
      <c r="Q517" s="105">
        <v>0.04</v>
      </c>
      <c r="R517" s="106">
        <v>0.04</v>
      </c>
      <c r="S517" s="105">
        <v>0.16</v>
      </c>
      <c r="T517" s="106">
        <v>0.3</v>
      </c>
      <c r="U517" s="106">
        <v>0.4</v>
      </c>
      <c r="V517" s="167">
        <f>ROUND((R517*N512+T517*L512+Q517*D512),4)</f>
        <v>0.20300000000000001</v>
      </c>
      <c r="W517" s="168">
        <f>ROUND((S517*0.9*O512+U517*0.9*L512+Q517*D512),4)</f>
        <v>0.90759999999999996</v>
      </c>
      <c r="X517" s="168">
        <f>ROUND((S517*P512+U517*L512+Q517*D512),4)</f>
        <v>3.2440000000000002</v>
      </c>
      <c r="Y517" s="168">
        <f>ROUND((T517*M512+Q517*E512),4)</f>
        <v>4.2999999999999997E-2</v>
      </c>
      <c r="Z517" s="168">
        <f>ROUND((U517*0.9*M512+Q517*E512),4)</f>
        <v>4.36E-2</v>
      </c>
      <c r="AA517" s="168">
        <f>ROUND((U517*M512+Q517*E512),4)</f>
        <v>4.3999999999999997E-2</v>
      </c>
      <c r="AB517" s="168">
        <f>ROUND((H512*(V517+Y517)*G512*I512/1000000),5)</f>
        <v>4.0000000000000003E-5</v>
      </c>
      <c r="AC517" s="168">
        <f>ROUND((H512*(W517+Z517)*G512*J512/1000000),5)</f>
        <v>0</v>
      </c>
      <c r="AD517" s="168">
        <f>ROUND((H512*(X517+AA517)*G512*K512/1000000),4)</f>
        <v>0</v>
      </c>
      <c r="AE517" s="103" t="s">
        <v>213</v>
      </c>
      <c r="AF517" s="104" t="s">
        <v>62</v>
      </c>
      <c r="AG517" s="105">
        <f>ROUND(((X517*F512/3600)),4)</f>
        <v>8.9999999999999998E-4</v>
      </c>
      <c r="AH517" s="105">
        <f>AB517+AC517+AD517</f>
        <v>4.0000000000000003E-5</v>
      </c>
      <c r="AI517" s="61">
        <f>SUM(AG512:AG517)</f>
        <v>6.4899999999999999E-2</v>
      </c>
      <c r="AJ517" s="61">
        <f>SUM(AH512:AH517)</f>
        <v>4.6499999999999996E-3</v>
      </c>
    </row>
    <row r="518" spans="1:36" ht="12.95" customHeight="1" x14ac:dyDescent="0.25">
      <c r="A518" s="1518" t="s">
        <v>1017</v>
      </c>
      <c r="B518" s="1519"/>
      <c r="C518" s="1519"/>
      <c r="D518" s="1519"/>
      <c r="E518" s="1519"/>
      <c r="F518" s="1519"/>
      <c r="G518" s="1519"/>
      <c r="H518" s="1519"/>
      <c r="I518" s="1519"/>
      <c r="J518" s="1519"/>
      <c r="K518" s="1519"/>
      <c r="L518" s="1519"/>
      <c r="M518" s="1519"/>
      <c r="N518" s="1519"/>
      <c r="O518" s="1519"/>
      <c r="P518" s="1519"/>
      <c r="Q518" s="1519"/>
      <c r="R518" s="1519"/>
      <c r="S518" s="1519"/>
      <c r="T518" s="1520"/>
      <c r="U518" s="1520"/>
      <c r="V518" s="1519"/>
      <c r="W518" s="1519"/>
      <c r="X518" s="1519"/>
      <c r="Y518" s="1519"/>
      <c r="Z518" s="1519"/>
      <c r="AA518" s="1519"/>
      <c r="AB518" s="1519"/>
      <c r="AC518" s="1519"/>
      <c r="AD518" s="1519"/>
      <c r="AE518" s="1519"/>
      <c r="AF518" s="1519"/>
      <c r="AG518" s="1519"/>
      <c r="AH518" s="1521"/>
    </row>
    <row r="519" spans="1:36" ht="12.95" customHeight="1" x14ac:dyDescent="0.25">
      <c r="A519" s="574" t="s">
        <v>131</v>
      </c>
      <c r="B519" s="93" t="s">
        <v>211</v>
      </c>
      <c r="C519" s="1109" t="s">
        <v>444</v>
      </c>
      <c r="D519" s="97">
        <v>1</v>
      </c>
      <c r="E519" s="97">
        <v>1</v>
      </c>
      <c r="F519" s="97">
        <v>1</v>
      </c>
      <c r="G519" s="97">
        <v>1</v>
      </c>
      <c r="H519" s="97">
        <f>ROUND((F519/G519),2)</f>
        <v>1</v>
      </c>
      <c r="I519" s="97">
        <v>173</v>
      </c>
      <c r="J519" s="97">
        <v>0</v>
      </c>
      <c r="K519" s="98">
        <v>0</v>
      </c>
      <c r="L519" s="98">
        <v>0.01</v>
      </c>
      <c r="M519" s="98">
        <v>0.01</v>
      </c>
      <c r="N519" s="97">
        <v>4</v>
      </c>
      <c r="O519" s="97">
        <v>6</v>
      </c>
      <c r="P519" s="97">
        <v>20</v>
      </c>
      <c r="Q519" s="97">
        <v>1</v>
      </c>
      <c r="R519" s="96">
        <v>1</v>
      </c>
      <c r="S519" s="97">
        <v>2</v>
      </c>
      <c r="T519" s="96">
        <v>4</v>
      </c>
      <c r="U519" s="96">
        <v>4</v>
      </c>
      <c r="V519" s="108">
        <f>ROUND((R519*N519+T519*L519+Q519*D519),4)</f>
        <v>5.04</v>
      </c>
      <c r="W519" s="109">
        <f>ROUND((S519*O519+U519*L519+Q519*D519),4)</f>
        <v>13.04</v>
      </c>
      <c r="X519" s="109">
        <f>ROUND((S519*P519+U519*L519+Q519*D519),4)</f>
        <v>41.04</v>
      </c>
      <c r="Y519" s="109">
        <f>ROUND((T519*M519+Q519*E519),4)</f>
        <v>1.04</v>
      </c>
      <c r="Z519" s="109">
        <f>ROUND((U519*M519+Q519*E519),4)</f>
        <v>1.04</v>
      </c>
      <c r="AA519" s="109">
        <f>ROUND((U519*M519+Q519*E519),4)</f>
        <v>1.04</v>
      </c>
      <c r="AB519" s="109">
        <f>ROUND((H519*(V519+Y519)*G519*I519/1000000),4)</f>
        <v>1.1000000000000001E-3</v>
      </c>
      <c r="AC519" s="109">
        <f>ROUND((H519*(W519+Z519)*G519*J519/1000000),4)</f>
        <v>0</v>
      </c>
      <c r="AD519" s="109">
        <f>ROUND((H519*(X519+AA519)*G519*K519/1000000),4)</f>
        <v>0</v>
      </c>
      <c r="AE519" s="103" t="s">
        <v>48</v>
      </c>
      <c r="AF519" s="104" t="s">
        <v>49</v>
      </c>
      <c r="AG519" s="105">
        <f>ROUND(((X519*F519/3600)*0.8),4)</f>
        <v>9.1000000000000004E-3</v>
      </c>
      <c r="AH519" s="105">
        <f>ROUND(((AB519+AC519+AD519)*0.8),4)</f>
        <v>8.9999999999999998E-4</v>
      </c>
    </row>
    <row r="520" spans="1:36" ht="12.95" customHeight="1" x14ac:dyDescent="0.25">
      <c r="A520" s="575" t="s">
        <v>150</v>
      </c>
      <c r="B520" s="94" t="s">
        <v>212</v>
      </c>
      <c r="C520" s="1110"/>
      <c r="D520" s="94"/>
      <c r="E520" s="94"/>
      <c r="F520" s="94"/>
      <c r="G520" s="94"/>
      <c r="H520" s="94"/>
      <c r="I520" s="94"/>
      <c r="J520" s="94"/>
      <c r="K520" s="94"/>
      <c r="L520" s="99"/>
      <c r="M520" s="99"/>
      <c r="N520" s="94"/>
      <c r="O520" s="94"/>
      <c r="P520" s="94"/>
      <c r="Q520" s="101"/>
      <c r="R520" s="101"/>
      <c r="S520" s="102"/>
      <c r="T520" s="101"/>
      <c r="U520" s="101"/>
      <c r="V520" s="110"/>
      <c r="W520" s="111"/>
      <c r="X520" s="111"/>
      <c r="Y520" s="111"/>
      <c r="Z520" s="111"/>
      <c r="AA520" s="111"/>
      <c r="AB520" s="111"/>
      <c r="AC520" s="111"/>
      <c r="AD520" s="111"/>
      <c r="AE520" s="103" t="s">
        <v>51</v>
      </c>
      <c r="AF520" s="104" t="s">
        <v>52</v>
      </c>
      <c r="AG520" s="105">
        <f>ROUND(((X519*F519/3600)*0.13),4)</f>
        <v>1.5E-3</v>
      </c>
      <c r="AH520" s="105">
        <f>ROUND(((AB519+AC519+AD519)*0.13),4)</f>
        <v>1E-4</v>
      </c>
    </row>
    <row r="521" spans="1:36" ht="12.95" customHeight="1" x14ac:dyDescent="0.25">
      <c r="A521" s="576"/>
      <c r="B521" s="95" t="s">
        <v>491</v>
      </c>
      <c r="C521" s="95"/>
      <c r="D521" s="94"/>
      <c r="E521" s="94"/>
      <c r="F521" s="94"/>
      <c r="G521" s="94"/>
      <c r="H521" s="94"/>
      <c r="I521" s="94"/>
      <c r="J521" s="94"/>
      <c r="K521" s="94"/>
      <c r="L521" s="99"/>
      <c r="M521" s="99"/>
      <c r="N521" s="94"/>
      <c r="O521" s="94"/>
      <c r="P521" s="94"/>
      <c r="Q521" s="105">
        <v>0.1</v>
      </c>
      <c r="R521" s="106">
        <v>0.113</v>
      </c>
      <c r="S521" s="107">
        <v>0.13600000000000001</v>
      </c>
      <c r="T521" s="106">
        <v>0.54</v>
      </c>
      <c r="U521" s="106">
        <v>0.67</v>
      </c>
      <c r="V521" s="108">
        <f>ROUND((R521*N519+T521*L519+Q521*D519),4)</f>
        <v>0.55740000000000001</v>
      </c>
      <c r="W521" s="109">
        <f>ROUND((S521*0.9*O519+U521*0.9*L519+Q521*D519),4)</f>
        <v>0.84040000000000004</v>
      </c>
      <c r="X521" s="109">
        <f>ROUND((S521*P519+U521*L519+Q521*D519),4)</f>
        <v>2.8267000000000002</v>
      </c>
      <c r="Y521" s="109">
        <f>ROUND((T521*M519+Q521*E519),4)</f>
        <v>0.10539999999999999</v>
      </c>
      <c r="Z521" s="109">
        <f>ROUND((U521*0.9*M519+Q521*E519),4)</f>
        <v>0.106</v>
      </c>
      <c r="AA521" s="109">
        <f>ROUND((U521*M519+Q521*E519),4)</f>
        <v>0.1067</v>
      </c>
      <c r="AB521" s="109">
        <f>ROUND((H519*(V521+Y521)*G519*I519/1000000),5)</f>
        <v>1.1E-4</v>
      </c>
      <c r="AC521" s="109">
        <f>ROUND((H519*(W521+Z521)*G519*J519/1000000),5)</f>
        <v>0</v>
      </c>
      <c r="AD521" s="109">
        <f>ROUND((H519*(X521+AA521)*G519*K519/1000000),5)</f>
        <v>0</v>
      </c>
      <c r="AE521" s="103" t="s">
        <v>56</v>
      </c>
      <c r="AF521" s="104" t="s">
        <v>57</v>
      </c>
      <c r="AG521" s="105">
        <f>ROUND(((X521*F519/3600)),4)</f>
        <v>8.0000000000000004E-4</v>
      </c>
      <c r="AH521" s="105">
        <f>AB521+AC521+AD521</f>
        <v>1.1E-4</v>
      </c>
    </row>
    <row r="522" spans="1:36" ht="12.95" customHeight="1" x14ac:dyDescent="0.25">
      <c r="A522" s="576"/>
      <c r="B522" s="166"/>
      <c r="C522" s="94"/>
      <c r="D522" s="94"/>
      <c r="E522" s="94"/>
      <c r="F522" s="94"/>
      <c r="G522" s="94"/>
      <c r="H522" s="94"/>
      <c r="I522" s="94"/>
      <c r="J522" s="94"/>
      <c r="K522" s="94"/>
      <c r="L522" s="99"/>
      <c r="M522" s="99"/>
      <c r="N522" s="94"/>
      <c r="O522" s="94"/>
      <c r="P522" s="94"/>
      <c r="Q522" s="105">
        <v>0.45</v>
      </c>
      <c r="R522" s="106">
        <v>0.4</v>
      </c>
      <c r="S522" s="105">
        <v>1.1000000000000001</v>
      </c>
      <c r="T522" s="106">
        <v>1</v>
      </c>
      <c r="U522" s="106">
        <v>1.2</v>
      </c>
      <c r="V522" s="108">
        <f>ROUND((R522*N519+T522*L519+Q522*D519),4)</f>
        <v>2.06</v>
      </c>
      <c r="W522" s="109">
        <f>ROUND((S522*0.9*O519+U522*0.9*L519+Q522*D519),4)</f>
        <v>6.4008000000000003</v>
      </c>
      <c r="X522" s="109">
        <f>ROUND((S522*P519+U522*L519+Q522*D519),4)</f>
        <v>22.462</v>
      </c>
      <c r="Y522" s="109">
        <f>ROUND((T522*M519+Q522*E519),4)</f>
        <v>0.46</v>
      </c>
      <c r="Z522" s="109">
        <f>ROUND((U522*0.9*M519+Q522*E519),4)</f>
        <v>0.46079999999999999</v>
      </c>
      <c r="AA522" s="109">
        <f>ROUND((U522*M519+Q522*E519),4)</f>
        <v>0.46200000000000002</v>
      </c>
      <c r="AB522" s="109">
        <f>ROUND((H519*(V522+Y522)*G519*I519/1000000),4)</f>
        <v>4.0000000000000002E-4</v>
      </c>
      <c r="AC522" s="109">
        <f>ROUND((H519*(W522+Z522)*G519*J519/1000000),4)</f>
        <v>0</v>
      </c>
      <c r="AD522" s="109">
        <f>ROUND((H519*(X522+AA522)*G519*K519/1000000),4)</f>
        <v>0</v>
      </c>
      <c r="AE522" s="103" t="s">
        <v>177</v>
      </c>
      <c r="AF522" s="104" t="s">
        <v>178</v>
      </c>
      <c r="AG522" s="105">
        <f>ROUND(((X522*F519/3600)),4)</f>
        <v>6.1999999999999998E-3</v>
      </c>
      <c r="AH522" s="105">
        <f>AB522+AC522+AD522</f>
        <v>4.0000000000000002E-4</v>
      </c>
    </row>
    <row r="523" spans="1:36" ht="12.95" customHeight="1" x14ac:dyDescent="0.25">
      <c r="A523" s="577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9"/>
      <c r="M523" s="99"/>
      <c r="N523" s="94"/>
      <c r="O523" s="94"/>
      <c r="P523" s="94"/>
      <c r="Q523" s="105">
        <v>2.9</v>
      </c>
      <c r="R523" s="106">
        <v>3</v>
      </c>
      <c r="S523" s="105">
        <v>8.1999999999999993</v>
      </c>
      <c r="T523" s="106">
        <v>6.1</v>
      </c>
      <c r="U523" s="106">
        <v>7.4</v>
      </c>
      <c r="V523" s="167">
        <f>ROUND((R523*N519+T523*L519+Q523*D519),4)</f>
        <v>14.961</v>
      </c>
      <c r="W523" s="168">
        <f>ROUND((S523*0.9*O519+U523*0.9*L519+Q523*D519),4)</f>
        <v>47.246600000000001</v>
      </c>
      <c r="X523" s="168">
        <f>ROUND((S523*P519+U523*L519+Q523*D519),4)</f>
        <v>166.97399999999999</v>
      </c>
      <c r="Y523" s="168">
        <f>ROUND((T523*M519+Q523*E519),4)</f>
        <v>2.9609999999999999</v>
      </c>
      <c r="Z523" s="168">
        <f>ROUND((U523*0.9*M519+Q523*E519),4)</f>
        <v>2.9666000000000001</v>
      </c>
      <c r="AA523" s="168">
        <f>ROUND((U523*M519+Q523*E519),4)</f>
        <v>2.9740000000000002</v>
      </c>
      <c r="AB523" s="168">
        <f>ROUND((H519*(V523+Y523)*G519*I519/1000000),4)</f>
        <v>3.0999999999999999E-3</v>
      </c>
      <c r="AC523" s="168">
        <f>ROUND((H519*(W523+Z523)*G519*J519/1000000),4)</f>
        <v>0</v>
      </c>
      <c r="AD523" s="168">
        <f>ROUND((H519*(X523+AA523)*G519*K519/1000000),4)</f>
        <v>0</v>
      </c>
      <c r="AE523" s="103" t="s">
        <v>65</v>
      </c>
      <c r="AF523" s="104" t="s">
        <v>66</v>
      </c>
      <c r="AG523" s="105">
        <f>ROUND(((X523*F519/3600)),4)</f>
        <v>4.6399999999999997E-2</v>
      </c>
      <c r="AH523" s="105">
        <f>AB523+AC523+AD523</f>
        <v>3.0999999999999999E-3</v>
      </c>
    </row>
    <row r="524" spans="1:36" ht="12.95" customHeight="1" x14ac:dyDescent="0.25">
      <c r="A524" s="581"/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  <c r="L524" s="102"/>
      <c r="M524" s="102"/>
      <c r="N524" s="101"/>
      <c r="O524" s="101"/>
      <c r="P524" s="101"/>
      <c r="Q524" s="105">
        <v>0.04</v>
      </c>
      <c r="R524" s="106">
        <v>0.04</v>
      </c>
      <c r="S524" s="105">
        <v>0.16</v>
      </c>
      <c r="T524" s="106">
        <v>0.3</v>
      </c>
      <c r="U524" s="106">
        <v>0.4</v>
      </c>
      <c r="V524" s="167">
        <f>ROUND((R524*N519+T524*L519+Q524*D519),4)</f>
        <v>0.20300000000000001</v>
      </c>
      <c r="W524" s="168">
        <f>ROUND((S524*0.9*O519+U524*0.9*L519+Q524*D519),4)</f>
        <v>0.90759999999999996</v>
      </c>
      <c r="X524" s="168">
        <f>ROUND((S524*P519+U524*L519+Q524*D519),4)</f>
        <v>3.2440000000000002</v>
      </c>
      <c r="Y524" s="168">
        <f>ROUND((T524*M519+Q524*E519),4)</f>
        <v>4.2999999999999997E-2</v>
      </c>
      <c r="Z524" s="168">
        <f>ROUND((U524*0.9*M519+Q524*E519),4)</f>
        <v>4.36E-2</v>
      </c>
      <c r="AA524" s="168">
        <f>ROUND((U524*M519+Q524*E519),4)</f>
        <v>4.3999999999999997E-2</v>
      </c>
      <c r="AB524" s="168">
        <f>ROUND((H519*(V524+Y524)*G519*I519/1000000),5)</f>
        <v>4.0000000000000003E-5</v>
      </c>
      <c r="AC524" s="168">
        <f>ROUND((H519*(W524+Z524)*G519*J519/1000000),5)</f>
        <v>0</v>
      </c>
      <c r="AD524" s="168">
        <f>ROUND((H519*(X524+AA524)*G519*K519/1000000),4)</f>
        <v>0</v>
      </c>
      <c r="AE524" s="103" t="s">
        <v>213</v>
      </c>
      <c r="AF524" s="104" t="s">
        <v>62</v>
      </c>
      <c r="AG524" s="105">
        <f>ROUND(((X524*F519/3600)),4)</f>
        <v>8.9999999999999998E-4</v>
      </c>
      <c r="AH524" s="105">
        <f>AB524+AC524+AD524</f>
        <v>4.0000000000000003E-5</v>
      </c>
      <c r="AI524" s="61">
        <f>SUM(AG519:AG524)</f>
        <v>6.4899999999999999E-2</v>
      </c>
      <c r="AJ524" s="61">
        <f>SUM(AH519:AH524)</f>
        <v>4.6499999999999996E-3</v>
      </c>
    </row>
    <row r="525" spans="1:36" ht="12.95" customHeight="1" x14ac:dyDescent="0.25">
      <c r="A525" s="1518" t="s">
        <v>1018</v>
      </c>
      <c r="B525" s="1519"/>
      <c r="C525" s="1519"/>
      <c r="D525" s="1519"/>
      <c r="E525" s="1519"/>
      <c r="F525" s="1519"/>
      <c r="G525" s="1519"/>
      <c r="H525" s="1519"/>
      <c r="I525" s="1519"/>
      <c r="J525" s="1519"/>
      <c r="K525" s="1519"/>
      <c r="L525" s="1519"/>
      <c r="M525" s="1519"/>
      <c r="N525" s="1519"/>
      <c r="O525" s="1519"/>
      <c r="P525" s="1519"/>
      <c r="Q525" s="1519"/>
      <c r="R525" s="1519"/>
      <c r="S525" s="1519"/>
      <c r="T525" s="1520"/>
      <c r="U525" s="1520"/>
      <c r="V525" s="1519"/>
      <c r="W525" s="1519"/>
      <c r="X525" s="1519"/>
      <c r="Y525" s="1519"/>
      <c r="Z525" s="1519"/>
      <c r="AA525" s="1519"/>
      <c r="AB525" s="1519"/>
      <c r="AC525" s="1519"/>
      <c r="AD525" s="1519"/>
      <c r="AE525" s="1519"/>
      <c r="AF525" s="1519"/>
      <c r="AG525" s="1519"/>
      <c r="AH525" s="1521"/>
    </row>
    <row r="526" spans="1:36" ht="12.95" customHeight="1" x14ac:dyDescent="0.25">
      <c r="A526" s="574" t="s">
        <v>683</v>
      </c>
      <c r="B526" s="93" t="s">
        <v>211</v>
      </c>
      <c r="C526" s="1109" t="s">
        <v>444</v>
      </c>
      <c r="D526" s="97">
        <v>1</v>
      </c>
      <c r="E526" s="97">
        <v>1</v>
      </c>
      <c r="F526" s="97">
        <v>1</v>
      </c>
      <c r="G526" s="97">
        <v>1</v>
      </c>
      <c r="H526" s="97">
        <f>ROUND((F526/G526),2)</f>
        <v>1</v>
      </c>
      <c r="I526" s="97">
        <v>173</v>
      </c>
      <c r="J526" s="97">
        <v>0</v>
      </c>
      <c r="K526" s="98">
        <v>0</v>
      </c>
      <c r="L526" s="98">
        <v>0.01</v>
      </c>
      <c r="M526" s="98">
        <v>0.01</v>
      </c>
      <c r="N526" s="97">
        <v>4</v>
      </c>
      <c r="O526" s="97">
        <v>6</v>
      </c>
      <c r="P526" s="97">
        <v>20</v>
      </c>
      <c r="Q526" s="97">
        <v>1</v>
      </c>
      <c r="R526" s="96">
        <v>1</v>
      </c>
      <c r="S526" s="97">
        <v>2</v>
      </c>
      <c r="T526" s="96">
        <v>4</v>
      </c>
      <c r="U526" s="96">
        <v>4</v>
      </c>
      <c r="V526" s="108">
        <f>ROUND((R526*N526+T526*L526+Q526*D526),4)</f>
        <v>5.04</v>
      </c>
      <c r="W526" s="109">
        <f>ROUND((S526*O526+U526*L526+Q526*D526),4)</f>
        <v>13.04</v>
      </c>
      <c r="X526" s="109">
        <f>ROUND((S526*P526+U526*L526+Q526*D526),4)</f>
        <v>41.04</v>
      </c>
      <c r="Y526" s="109">
        <f>ROUND((T526*M526+Q526*E526),4)</f>
        <v>1.04</v>
      </c>
      <c r="Z526" s="109">
        <f>ROUND((U526*M526+Q526*E526),4)</f>
        <v>1.04</v>
      </c>
      <c r="AA526" s="109">
        <f>ROUND((U526*M526+Q526*E526),4)</f>
        <v>1.04</v>
      </c>
      <c r="AB526" s="109">
        <f>ROUND((H526*(V526+Y526)*G526*I526/1000000),4)</f>
        <v>1.1000000000000001E-3</v>
      </c>
      <c r="AC526" s="109">
        <f>ROUND((H526*(W526+Z526)*G526*J526/1000000),4)</f>
        <v>0</v>
      </c>
      <c r="AD526" s="109">
        <f>ROUND((H526*(X526+AA526)*G526*K526/1000000),4)</f>
        <v>0</v>
      </c>
      <c r="AE526" s="103" t="s">
        <v>48</v>
      </c>
      <c r="AF526" s="104" t="s">
        <v>49</v>
      </c>
      <c r="AG526" s="105">
        <f>ROUND(((X526*F526/3600)*0.8),4)</f>
        <v>9.1000000000000004E-3</v>
      </c>
      <c r="AH526" s="105">
        <f>ROUND(((AB526+AC526+AD526)*0.8),4)</f>
        <v>8.9999999999999998E-4</v>
      </c>
    </row>
    <row r="527" spans="1:36" ht="12.95" customHeight="1" x14ac:dyDescent="0.25">
      <c r="A527" s="575" t="s">
        <v>150</v>
      </c>
      <c r="B527" s="94" t="s">
        <v>212</v>
      </c>
      <c r="C527" s="1110"/>
      <c r="D527" s="94"/>
      <c r="E527" s="94"/>
      <c r="F527" s="94"/>
      <c r="G527" s="94"/>
      <c r="H527" s="94"/>
      <c r="I527" s="94"/>
      <c r="J527" s="94"/>
      <c r="K527" s="94"/>
      <c r="L527" s="99"/>
      <c r="M527" s="99"/>
      <c r="N527" s="94"/>
      <c r="O527" s="94"/>
      <c r="P527" s="94"/>
      <c r="Q527" s="101"/>
      <c r="R527" s="101"/>
      <c r="S527" s="102"/>
      <c r="T527" s="101"/>
      <c r="U527" s="101"/>
      <c r="V527" s="110"/>
      <c r="W527" s="111"/>
      <c r="X527" s="111"/>
      <c r="Y527" s="111"/>
      <c r="Z527" s="111"/>
      <c r="AA527" s="111"/>
      <c r="AB527" s="111"/>
      <c r="AC527" s="111"/>
      <c r="AD527" s="111"/>
      <c r="AE527" s="103" t="s">
        <v>51</v>
      </c>
      <c r="AF527" s="104" t="s">
        <v>52</v>
      </c>
      <c r="AG527" s="105">
        <f>ROUND(((X526*F526/3600)*0.13),4)</f>
        <v>1.5E-3</v>
      </c>
      <c r="AH527" s="105">
        <f>ROUND(((AB526+AC526+AD526)*0.13),4)</f>
        <v>1E-4</v>
      </c>
    </row>
    <row r="528" spans="1:36" ht="12.95" customHeight="1" x14ac:dyDescent="0.25">
      <c r="A528" s="576"/>
      <c r="B528" s="95" t="s">
        <v>491</v>
      </c>
      <c r="C528" s="95"/>
      <c r="D528" s="94"/>
      <c r="E528" s="94"/>
      <c r="F528" s="94"/>
      <c r="G528" s="94"/>
      <c r="H528" s="94"/>
      <c r="I528" s="94"/>
      <c r="J528" s="94"/>
      <c r="K528" s="94"/>
      <c r="L528" s="99"/>
      <c r="M528" s="99"/>
      <c r="N528" s="94"/>
      <c r="O528" s="94"/>
      <c r="P528" s="94"/>
      <c r="Q528" s="105">
        <v>0.1</v>
      </c>
      <c r="R528" s="106">
        <v>0.113</v>
      </c>
      <c r="S528" s="107">
        <v>0.13600000000000001</v>
      </c>
      <c r="T528" s="106">
        <v>0.54</v>
      </c>
      <c r="U528" s="106">
        <v>0.67</v>
      </c>
      <c r="V528" s="108">
        <f>ROUND((R528*N526+T528*L526+Q528*D526),4)</f>
        <v>0.55740000000000001</v>
      </c>
      <c r="W528" s="109">
        <f>ROUND((S528*0.9*O526+U528*0.9*L526+Q528*D526),4)</f>
        <v>0.84040000000000004</v>
      </c>
      <c r="X528" s="109">
        <f>ROUND((S528*P526+U528*L526+Q528*D526),4)</f>
        <v>2.8267000000000002</v>
      </c>
      <c r="Y528" s="109">
        <f>ROUND((T528*M526+Q528*E526),4)</f>
        <v>0.10539999999999999</v>
      </c>
      <c r="Z528" s="109">
        <f>ROUND((U528*0.9*M526+Q528*E526),4)</f>
        <v>0.106</v>
      </c>
      <c r="AA528" s="109">
        <f>ROUND((U528*M526+Q528*E526),4)</f>
        <v>0.1067</v>
      </c>
      <c r="AB528" s="109">
        <f>ROUND((H526*(V528+Y528)*G526*I526/1000000),5)</f>
        <v>1.1E-4</v>
      </c>
      <c r="AC528" s="109">
        <f>ROUND((H526*(W528+Z528)*G526*J526/1000000),5)</f>
        <v>0</v>
      </c>
      <c r="AD528" s="109">
        <f>ROUND((H526*(X528+AA528)*G526*K526/1000000),5)</f>
        <v>0</v>
      </c>
      <c r="AE528" s="103" t="s">
        <v>56</v>
      </c>
      <c r="AF528" s="104" t="s">
        <v>57</v>
      </c>
      <c r="AG528" s="105">
        <f>ROUND(((X528*F526/3600)),4)</f>
        <v>8.0000000000000004E-4</v>
      </c>
      <c r="AH528" s="105">
        <f>AB528+AC528+AD528</f>
        <v>1.1E-4</v>
      </c>
    </row>
    <row r="529" spans="1:36" ht="12.95" customHeight="1" x14ac:dyDescent="0.25">
      <c r="A529" s="576"/>
      <c r="B529" s="166"/>
      <c r="C529" s="94"/>
      <c r="D529" s="94"/>
      <c r="E529" s="94"/>
      <c r="F529" s="94"/>
      <c r="G529" s="94"/>
      <c r="H529" s="94"/>
      <c r="I529" s="94"/>
      <c r="J529" s="94"/>
      <c r="K529" s="94"/>
      <c r="L529" s="99"/>
      <c r="M529" s="99"/>
      <c r="N529" s="94"/>
      <c r="O529" s="94"/>
      <c r="P529" s="94"/>
      <c r="Q529" s="105">
        <v>0.45</v>
      </c>
      <c r="R529" s="106">
        <v>0.4</v>
      </c>
      <c r="S529" s="105">
        <v>1.1000000000000001</v>
      </c>
      <c r="T529" s="106">
        <v>1</v>
      </c>
      <c r="U529" s="106">
        <v>1.2</v>
      </c>
      <c r="V529" s="108">
        <f>ROUND((R529*N526+T529*L526+Q529*D526),4)</f>
        <v>2.06</v>
      </c>
      <c r="W529" s="109">
        <f>ROUND((S529*0.9*O526+U529*0.9*L526+Q529*D526),4)</f>
        <v>6.4008000000000003</v>
      </c>
      <c r="X529" s="109">
        <f>ROUND((S529*P526+U529*L526+Q529*D526),4)</f>
        <v>22.462</v>
      </c>
      <c r="Y529" s="109">
        <f>ROUND((T529*M526+Q529*E526),4)</f>
        <v>0.46</v>
      </c>
      <c r="Z529" s="109">
        <f>ROUND((U529*0.9*M526+Q529*E526),4)</f>
        <v>0.46079999999999999</v>
      </c>
      <c r="AA529" s="109">
        <f>ROUND((U529*M526+Q529*E526),4)</f>
        <v>0.46200000000000002</v>
      </c>
      <c r="AB529" s="109">
        <f>ROUND((H526*(V529+Y529)*G526*I526/1000000),4)</f>
        <v>4.0000000000000002E-4</v>
      </c>
      <c r="AC529" s="109">
        <f>ROUND((H526*(W529+Z529)*G526*J526/1000000),4)</f>
        <v>0</v>
      </c>
      <c r="AD529" s="109">
        <f>ROUND((H526*(X529+AA529)*G526*K526/1000000),4)</f>
        <v>0</v>
      </c>
      <c r="AE529" s="103" t="s">
        <v>177</v>
      </c>
      <c r="AF529" s="104" t="s">
        <v>178</v>
      </c>
      <c r="AG529" s="105">
        <f>ROUND(((X529*F526/3600)),4)</f>
        <v>6.1999999999999998E-3</v>
      </c>
      <c r="AH529" s="105">
        <f>AB529+AC529+AD529</f>
        <v>4.0000000000000002E-4</v>
      </c>
    </row>
    <row r="530" spans="1:36" ht="12.95" customHeight="1" x14ac:dyDescent="0.25">
      <c r="A530" s="577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9"/>
      <c r="M530" s="99"/>
      <c r="N530" s="94"/>
      <c r="O530" s="94"/>
      <c r="P530" s="94"/>
      <c r="Q530" s="105">
        <v>2.9</v>
      </c>
      <c r="R530" s="106">
        <v>3</v>
      </c>
      <c r="S530" s="105">
        <v>8.1999999999999993</v>
      </c>
      <c r="T530" s="106">
        <v>6.1</v>
      </c>
      <c r="U530" s="106">
        <v>7.4</v>
      </c>
      <c r="V530" s="167">
        <f>ROUND((R530*N526+T530*L526+Q530*D526),4)</f>
        <v>14.961</v>
      </c>
      <c r="W530" s="168">
        <f>ROUND((S530*0.9*O526+U530*0.9*L526+Q530*D526),4)</f>
        <v>47.246600000000001</v>
      </c>
      <c r="X530" s="168">
        <f>ROUND((S530*P526+U530*L526+Q530*D526),4)</f>
        <v>166.97399999999999</v>
      </c>
      <c r="Y530" s="168">
        <f>ROUND((T530*M526+Q530*E526),4)</f>
        <v>2.9609999999999999</v>
      </c>
      <c r="Z530" s="168">
        <f>ROUND((U530*0.9*M526+Q530*E526),4)</f>
        <v>2.9666000000000001</v>
      </c>
      <c r="AA530" s="168">
        <f>ROUND((U530*M526+Q530*E526),4)</f>
        <v>2.9740000000000002</v>
      </c>
      <c r="AB530" s="168">
        <f>ROUND((H526*(V530+Y530)*G526*I526/1000000),4)</f>
        <v>3.0999999999999999E-3</v>
      </c>
      <c r="AC530" s="168">
        <f>ROUND((H526*(W530+Z530)*G526*J526/1000000),4)</f>
        <v>0</v>
      </c>
      <c r="AD530" s="168">
        <f>ROUND((H526*(X530+AA530)*G526*K526/1000000),4)</f>
        <v>0</v>
      </c>
      <c r="AE530" s="103" t="s">
        <v>65</v>
      </c>
      <c r="AF530" s="104" t="s">
        <v>66</v>
      </c>
      <c r="AG530" s="105">
        <f>ROUND(((X530*F526/3600)),4)</f>
        <v>4.6399999999999997E-2</v>
      </c>
      <c r="AH530" s="105">
        <f>AB530+AC530+AD530</f>
        <v>3.0999999999999999E-3</v>
      </c>
    </row>
    <row r="531" spans="1:36" ht="12.95" customHeight="1" x14ac:dyDescent="0.25">
      <c r="A531" s="581"/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  <c r="L531" s="102"/>
      <c r="M531" s="102"/>
      <c r="N531" s="101"/>
      <c r="O531" s="101"/>
      <c r="P531" s="101"/>
      <c r="Q531" s="105">
        <v>0.04</v>
      </c>
      <c r="R531" s="106">
        <v>0.04</v>
      </c>
      <c r="S531" s="105">
        <v>0.16</v>
      </c>
      <c r="T531" s="106">
        <v>0.3</v>
      </c>
      <c r="U531" s="106">
        <v>0.4</v>
      </c>
      <c r="V531" s="167">
        <f>ROUND((R531*N526+T531*L526+Q531*D526),4)</f>
        <v>0.20300000000000001</v>
      </c>
      <c r="W531" s="168">
        <f>ROUND((S531*0.9*O526+U531*0.9*L526+Q531*D526),4)</f>
        <v>0.90759999999999996</v>
      </c>
      <c r="X531" s="168">
        <f>ROUND((S531*P526+U531*L526+Q531*D526),4)</f>
        <v>3.2440000000000002</v>
      </c>
      <c r="Y531" s="168">
        <f>ROUND((T531*M526+Q531*E526),4)</f>
        <v>4.2999999999999997E-2</v>
      </c>
      <c r="Z531" s="168">
        <f>ROUND((U531*0.9*M526+Q531*E526),4)</f>
        <v>4.36E-2</v>
      </c>
      <c r="AA531" s="168">
        <f>ROUND((U531*M526+Q531*E526),4)</f>
        <v>4.3999999999999997E-2</v>
      </c>
      <c r="AB531" s="168">
        <f>ROUND((H526*(V531+Y531)*G526*I526/1000000),5)</f>
        <v>4.0000000000000003E-5</v>
      </c>
      <c r="AC531" s="168">
        <f>ROUND((H526*(W531+Z531)*G526*J526/1000000),5)</f>
        <v>0</v>
      </c>
      <c r="AD531" s="168">
        <f>ROUND((H526*(X531+AA531)*G526*K526/1000000),4)</f>
        <v>0</v>
      </c>
      <c r="AE531" s="103" t="s">
        <v>213</v>
      </c>
      <c r="AF531" s="104" t="s">
        <v>62</v>
      </c>
      <c r="AG531" s="105">
        <f>ROUND(((X531*F526/3600)),4)</f>
        <v>8.9999999999999998E-4</v>
      </c>
      <c r="AH531" s="105">
        <f>AB531+AC531+AD531</f>
        <v>4.0000000000000003E-5</v>
      </c>
      <c r="AI531" s="61">
        <f>SUM(AG526:AG531)</f>
        <v>6.4899999999999999E-2</v>
      </c>
      <c r="AJ531" s="61">
        <f>SUM(AH526:AH531)</f>
        <v>4.6499999999999996E-3</v>
      </c>
    </row>
    <row r="532" spans="1:36" ht="12.95" customHeight="1" x14ac:dyDescent="0.25">
      <c r="A532" s="1518" t="s">
        <v>707</v>
      </c>
      <c r="B532" s="1519"/>
      <c r="C532" s="1519"/>
      <c r="D532" s="1519"/>
      <c r="E532" s="1519"/>
      <c r="F532" s="1519"/>
      <c r="G532" s="1519"/>
      <c r="H532" s="1519"/>
      <c r="I532" s="1519"/>
      <c r="J532" s="1519"/>
      <c r="K532" s="1519"/>
      <c r="L532" s="1519"/>
      <c r="M532" s="1519"/>
      <c r="N532" s="1519"/>
      <c r="O532" s="1519"/>
      <c r="P532" s="1519"/>
      <c r="Q532" s="1519"/>
      <c r="R532" s="1519"/>
      <c r="S532" s="1519"/>
      <c r="T532" s="1520"/>
      <c r="U532" s="1520"/>
      <c r="V532" s="1519"/>
      <c r="W532" s="1519"/>
      <c r="X532" s="1519"/>
      <c r="Y532" s="1519"/>
      <c r="Z532" s="1519"/>
      <c r="AA532" s="1519"/>
      <c r="AB532" s="1519"/>
      <c r="AC532" s="1519"/>
      <c r="AD532" s="1519"/>
      <c r="AE532" s="1519"/>
      <c r="AF532" s="1519"/>
      <c r="AG532" s="1519"/>
      <c r="AH532" s="1521"/>
    </row>
    <row r="533" spans="1:36" ht="12.95" customHeight="1" x14ac:dyDescent="0.25">
      <c r="A533" s="574" t="s">
        <v>704</v>
      </c>
      <c r="B533" s="93" t="s">
        <v>211</v>
      </c>
      <c r="C533" s="1109" t="s">
        <v>444</v>
      </c>
      <c r="D533" s="97">
        <v>1</v>
      </c>
      <c r="E533" s="97">
        <v>1</v>
      </c>
      <c r="F533" s="97">
        <v>1</v>
      </c>
      <c r="G533" s="97">
        <v>1</v>
      </c>
      <c r="H533" s="97">
        <f>ROUND((F533/G533),2)</f>
        <v>1</v>
      </c>
      <c r="I533" s="65">
        <v>180</v>
      </c>
      <c r="J533" s="65">
        <v>90</v>
      </c>
      <c r="K533" s="66">
        <v>95</v>
      </c>
      <c r="L533" s="98">
        <v>0.01</v>
      </c>
      <c r="M533" s="98">
        <v>0.01</v>
      </c>
      <c r="N533" s="97">
        <v>4</v>
      </c>
      <c r="O533" s="97">
        <v>6</v>
      </c>
      <c r="P533" s="97">
        <v>20</v>
      </c>
      <c r="Q533" s="97">
        <v>1</v>
      </c>
      <c r="R533" s="96">
        <v>1</v>
      </c>
      <c r="S533" s="97">
        <v>2</v>
      </c>
      <c r="T533" s="96">
        <v>4</v>
      </c>
      <c r="U533" s="96">
        <v>4</v>
      </c>
      <c r="V533" s="108">
        <f>ROUND((R533*N533+T533*L533+Q533*D533),4)</f>
        <v>5.04</v>
      </c>
      <c r="W533" s="109">
        <f>ROUND((S533*O533+U533*L533+Q533*D533),4)</f>
        <v>13.04</v>
      </c>
      <c r="X533" s="109">
        <f>ROUND((S533*P533+U533*L533+Q533*D533),4)</f>
        <v>41.04</v>
      </c>
      <c r="Y533" s="109">
        <f>ROUND((T533*M533+Q533*E533),4)</f>
        <v>1.04</v>
      </c>
      <c r="Z533" s="109">
        <f>ROUND((U533*M533+Q533*E533),4)</f>
        <v>1.04</v>
      </c>
      <c r="AA533" s="109">
        <f>ROUND((U533*M533+Q533*E533),4)</f>
        <v>1.04</v>
      </c>
      <c r="AB533" s="109">
        <f>ROUND((H533*(V533+Y533)*G533*I533/1000000),4)</f>
        <v>1.1000000000000001E-3</v>
      </c>
      <c r="AC533" s="109">
        <f>ROUND((H533*(W533+Z533)*G533*J533/1000000),4)</f>
        <v>1.2999999999999999E-3</v>
      </c>
      <c r="AD533" s="109">
        <f>ROUND((H533*(X533+AA533)*G533*K533/1000000),4)</f>
        <v>4.0000000000000001E-3</v>
      </c>
      <c r="AE533" s="103" t="s">
        <v>48</v>
      </c>
      <c r="AF533" s="104" t="s">
        <v>49</v>
      </c>
      <c r="AG533" s="105">
        <f>ROUND(((X533*F533/3600)*0.8),4)</f>
        <v>9.1000000000000004E-3</v>
      </c>
      <c r="AH533" s="105">
        <f>ROUND(((AB533+AC533+AD533)*0.8),4)</f>
        <v>5.1000000000000004E-3</v>
      </c>
    </row>
    <row r="534" spans="1:36" ht="12.95" customHeight="1" x14ac:dyDescent="0.25">
      <c r="A534" s="575" t="s">
        <v>150</v>
      </c>
      <c r="B534" s="94" t="s">
        <v>212</v>
      </c>
      <c r="C534" s="1110"/>
      <c r="D534" s="94"/>
      <c r="E534" s="94"/>
      <c r="F534" s="94"/>
      <c r="G534" s="94"/>
      <c r="H534" s="94"/>
      <c r="I534" s="94"/>
      <c r="J534" s="94"/>
      <c r="K534" s="94"/>
      <c r="L534" s="99"/>
      <c r="M534" s="99"/>
      <c r="N534" s="94"/>
      <c r="O534" s="94"/>
      <c r="P534" s="94"/>
      <c r="Q534" s="101"/>
      <c r="R534" s="101"/>
      <c r="S534" s="102"/>
      <c r="T534" s="101"/>
      <c r="U534" s="101"/>
      <c r="V534" s="110"/>
      <c r="W534" s="111"/>
      <c r="X534" s="111"/>
      <c r="Y534" s="111"/>
      <c r="Z534" s="111"/>
      <c r="AA534" s="111"/>
      <c r="AB534" s="111"/>
      <c r="AC534" s="111"/>
      <c r="AD534" s="111"/>
      <c r="AE534" s="103" t="s">
        <v>51</v>
      </c>
      <c r="AF534" s="104" t="s">
        <v>52</v>
      </c>
      <c r="AG534" s="105">
        <f>ROUND(((X533*F533/3600)*0.13),4)</f>
        <v>1.5E-3</v>
      </c>
      <c r="AH534" s="105">
        <f>ROUND(((AB533+AC533+AD533)*0.13),4)</f>
        <v>8.0000000000000004E-4</v>
      </c>
    </row>
    <row r="535" spans="1:36" ht="12.95" customHeight="1" x14ac:dyDescent="0.25">
      <c r="A535" s="576"/>
      <c r="B535" s="95" t="s">
        <v>491</v>
      </c>
      <c r="C535" s="95"/>
      <c r="D535" s="94"/>
      <c r="E535" s="94"/>
      <c r="F535" s="94"/>
      <c r="G535" s="94"/>
      <c r="H535" s="94"/>
      <c r="I535" s="94"/>
      <c r="J535" s="94"/>
      <c r="K535" s="94"/>
      <c r="L535" s="99"/>
      <c r="M535" s="99"/>
      <c r="N535" s="94"/>
      <c r="O535" s="94"/>
      <c r="P535" s="94"/>
      <c r="Q535" s="105">
        <v>0.1</v>
      </c>
      <c r="R535" s="106">
        <v>0.113</v>
      </c>
      <c r="S535" s="107">
        <v>0.13600000000000001</v>
      </c>
      <c r="T535" s="106">
        <v>0.54</v>
      </c>
      <c r="U535" s="106">
        <v>0.67</v>
      </c>
      <c r="V535" s="108">
        <f>ROUND((R535*N533+T535*L533+Q535*D533),4)</f>
        <v>0.55740000000000001</v>
      </c>
      <c r="W535" s="109">
        <f>ROUND((S535*0.9*O533+U535*0.9*L533+Q535*D533),4)</f>
        <v>0.84040000000000004</v>
      </c>
      <c r="X535" s="109">
        <f>ROUND((S535*P533+U535*L533+Q535*D533),4)</f>
        <v>2.8267000000000002</v>
      </c>
      <c r="Y535" s="109">
        <f>ROUND((T535*M533+Q535*E533),4)</f>
        <v>0.10539999999999999</v>
      </c>
      <c r="Z535" s="109">
        <f>ROUND((U535*0.9*M533+Q535*E533),4)</f>
        <v>0.106</v>
      </c>
      <c r="AA535" s="109">
        <f>ROUND((U535*M533+Q535*E533),4)</f>
        <v>0.1067</v>
      </c>
      <c r="AB535" s="109">
        <f>ROUND((H533*(V535+Y535)*G533*I533/1000000),5)</f>
        <v>1.2E-4</v>
      </c>
      <c r="AC535" s="109">
        <f>ROUND((H533*(W535+Z535)*G533*J533/1000000),5)</f>
        <v>9.0000000000000006E-5</v>
      </c>
      <c r="AD535" s="109">
        <f>ROUND((H533*(X535+AA535)*G533*K533/1000000),5)</f>
        <v>2.7999999999999998E-4</v>
      </c>
      <c r="AE535" s="103" t="s">
        <v>56</v>
      </c>
      <c r="AF535" s="104" t="s">
        <v>57</v>
      </c>
      <c r="AG535" s="105">
        <f>ROUND(((X535*F533/3600)),4)</f>
        <v>8.0000000000000004E-4</v>
      </c>
      <c r="AH535" s="105">
        <f>AB535+AC535+AD535</f>
        <v>4.8999999999999998E-4</v>
      </c>
    </row>
    <row r="536" spans="1:36" ht="12.95" customHeight="1" x14ac:dyDescent="0.25">
      <c r="A536" s="576"/>
      <c r="B536" s="166"/>
      <c r="C536" s="94"/>
      <c r="D536" s="94"/>
      <c r="E536" s="94"/>
      <c r="F536" s="94"/>
      <c r="G536" s="94"/>
      <c r="H536" s="94"/>
      <c r="I536" s="94"/>
      <c r="J536" s="94"/>
      <c r="K536" s="94"/>
      <c r="L536" s="99"/>
      <c r="M536" s="99"/>
      <c r="N536" s="94"/>
      <c r="O536" s="94"/>
      <c r="P536" s="94"/>
      <c r="Q536" s="105">
        <v>0.45</v>
      </c>
      <c r="R536" s="106">
        <v>0.4</v>
      </c>
      <c r="S536" s="105">
        <v>1.1000000000000001</v>
      </c>
      <c r="T536" s="106">
        <v>1</v>
      </c>
      <c r="U536" s="106">
        <v>1.2</v>
      </c>
      <c r="V536" s="108">
        <f>ROUND((R536*N533+T536*L533+Q536*D533),4)</f>
        <v>2.06</v>
      </c>
      <c r="W536" s="109">
        <f>ROUND((S536*0.9*O533+U536*0.9*L533+Q536*D533),4)</f>
        <v>6.4008000000000003</v>
      </c>
      <c r="X536" s="109">
        <f>ROUND((S536*P533+U536*L533+Q536*D533),4)</f>
        <v>22.462</v>
      </c>
      <c r="Y536" s="109">
        <f>ROUND((T536*M533+Q536*E533),4)</f>
        <v>0.46</v>
      </c>
      <c r="Z536" s="109">
        <f>ROUND((U536*0.9*M533+Q536*E533),4)</f>
        <v>0.46079999999999999</v>
      </c>
      <c r="AA536" s="109">
        <f>ROUND((U536*M533+Q536*E533),4)</f>
        <v>0.46200000000000002</v>
      </c>
      <c r="AB536" s="109">
        <f>ROUND((H533*(V536+Y536)*G533*I533/1000000),4)</f>
        <v>5.0000000000000001E-4</v>
      </c>
      <c r="AC536" s="109">
        <f>ROUND((H533*(W536+Z536)*G533*J533/1000000),4)</f>
        <v>5.9999999999999995E-4</v>
      </c>
      <c r="AD536" s="109">
        <f>ROUND((H533*(X536+AA536)*G533*K533/1000000),4)</f>
        <v>2.2000000000000001E-3</v>
      </c>
      <c r="AE536" s="103" t="s">
        <v>177</v>
      </c>
      <c r="AF536" s="104" t="s">
        <v>178</v>
      </c>
      <c r="AG536" s="105">
        <f>ROUND(((X536*F533/3600)),4)</f>
        <v>6.1999999999999998E-3</v>
      </c>
      <c r="AH536" s="105">
        <f>AB536+AC536+AD536</f>
        <v>3.3E-3</v>
      </c>
    </row>
    <row r="537" spans="1:36" ht="12.95" customHeight="1" x14ac:dyDescent="0.25">
      <c r="A537" s="577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9"/>
      <c r="M537" s="99"/>
      <c r="N537" s="94"/>
      <c r="O537" s="94"/>
      <c r="P537" s="94"/>
      <c r="Q537" s="105">
        <v>2.9</v>
      </c>
      <c r="R537" s="106">
        <v>3</v>
      </c>
      <c r="S537" s="105">
        <v>8.1999999999999993</v>
      </c>
      <c r="T537" s="106">
        <v>6.1</v>
      </c>
      <c r="U537" s="106">
        <v>7.4</v>
      </c>
      <c r="V537" s="167">
        <f>ROUND((R537*N533+T537*L533+Q537*D533),4)</f>
        <v>14.961</v>
      </c>
      <c r="W537" s="168">
        <f>ROUND((S537*0.9*O533+U537*0.9*L533+Q537*D533),4)</f>
        <v>47.246600000000001</v>
      </c>
      <c r="X537" s="168">
        <f>ROUND((S537*P533+U537*L533+Q537*D533),4)</f>
        <v>166.97399999999999</v>
      </c>
      <c r="Y537" s="168">
        <f>ROUND((T537*M533+Q537*E533),4)</f>
        <v>2.9609999999999999</v>
      </c>
      <c r="Z537" s="168">
        <f>ROUND((U537*0.9*M533+Q537*E533),4)</f>
        <v>2.9666000000000001</v>
      </c>
      <c r="AA537" s="168">
        <f>ROUND((U537*M533+Q537*E533),4)</f>
        <v>2.9740000000000002</v>
      </c>
      <c r="AB537" s="168">
        <f>ROUND((H533*(V537+Y537)*G533*I533/1000000),4)</f>
        <v>3.2000000000000002E-3</v>
      </c>
      <c r="AC537" s="168">
        <f>ROUND((H533*(W537+Z537)*G533*J533/1000000),4)</f>
        <v>4.4999999999999997E-3</v>
      </c>
      <c r="AD537" s="168">
        <f>ROUND((H533*(X537+AA537)*G533*K533/1000000),4)</f>
        <v>1.61E-2</v>
      </c>
      <c r="AE537" s="103" t="s">
        <v>65</v>
      </c>
      <c r="AF537" s="104" t="s">
        <v>66</v>
      </c>
      <c r="AG537" s="105">
        <f>ROUND(((X537*F533/3600)),4)</f>
        <v>4.6399999999999997E-2</v>
      </c>
      <c r="AH537" s="105">
        <f>AB537+AC537+AD537</f>
        <v>2.3800000000000002E-2</v>
      </c>
    </row>
    <row r="538" spans="1:36" ht="12.95" customHeight="1" x14ac:dyDescent="0.25">
      <c r="A538" s="581"/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  <c r="L538" s="102"/>
      <c r="M538" s="102"/>
      <c r="N538" s="101"/>
      <c r="O538" s="101"/>
      <c r="P538" s="101"/>
      <c r="Q538" s="105">
        <v>0.04</v>
      </c>
      <c r="R538" s="106">
        <v>0.04</v>
      </c>
      <c r="S538" s="105">
        <v>0.16</v>
      </c>
      <c r="T538" s="106">
        <v>0.3</v>
      </c>
      <c r="U538" s="106">
        <v>0.4</v>
      </c>
      <c r="V538" s="167">
        <f>ROUND((R538*N533+T538*L533+Q538*D533),4)</f>
        <v>0.20300000000000001</v>
      </c>
      <c r="W538" s="168">
        <f>ROUND((S538*0.9*O533+U538*0.9*L533+Q538*D533),4)</f>
        <v>0.90759999999999996</v>
      </c>
      <c r="X538" s="168">
        <f>ROUND((S538*P533+U538*L533+Q538*D533),4)</f>
        <v>3.2440000000000002</v>
      </c>
      <c r="Y538" s="168">
        <f>ROUND((T538*M533+Q538*E533),4)</f>
        <v>4.2999999999999997E-2</v>
      </c>
      <c r="Z538" s="168">
        <f>ROUND((U538*0.9*M533+Q538*E533),4)</f>
        <v>4.36E-2</v>
      </c>
      <c r="AA538" s="168">
        <f>ROUND((U538*M533+Q538*E533),4)</f>
        <v>4.3999999999999997E-2</v>
      </c>
      <c r="AB538" s="168">
        <f>ROUND((H533*(V538+Y538)*G533*I533/1000000),5)</f>
        <v>4.0000000000000003E-5</v>
      </c>
      <c r="AC538" s="168">
        <f>ROUND((H533*(W538+Z538)*G533*J533/1000000),5)</f>
        <v>9.0000000000000006E-5</v>
      </c>
      <c r="AD538" s="168">
        <f>ROUND((H533*(X538+AA538)*G533*K533/1000000),4)</f>
        <v>2.9999999999999997E-4</v>
      </c>
      <c r="AE538" s="103" t="s">
        <v>213</v>
      </c>
      <c r="AF538" s="104" t="s">
        <v>62</v>
      </c>
      <c r="AG538" s="105">
        <f>ROUND(((X538*F533/3600)),4)</f>
        <v>8.9999999999999998E-4</v>
      </c>
      <c r="AH538" s="105">
        <f>AB538+AC538+AD538</f>
        <v>4.2999999999999999E-4</v>
      </c>
      <c r="AI538" s="61">
        <f>SUM(AG533:AG538)</f>
        <v>6.4899999999999999E-2</v>
      </c>
      <c r="AJ538" s="61">
        <f>SUM(AH533:AH538)</f>
        <v>3.3920000000000006E-2</v>
      </c>
    </row>
    <row r="539" spans="1:36" ht="12.95" customHeight="1" x14ac:dyDescent="0.25">
      <c r="A539" s="1518" t="s">
        <v>709</v>
      </c>
      <c r="B539" s="1519"/>
      <c r="C539" s="1519"/>
      <c r="D539" s="1519"/>
      <c r="E539" s="1519"/>
      <c r="F539" s="1519"/>
      <c r="G539" s="1519"/>
      <c r="H539" s="1519"/>
      <c r="I539" s="1519"/>
      <c r="J539" s="1519"/>
      <c r="K539" s="1519"/>
      <c r="L539" s="1519"/>
      <c r="M539" s="1519"/>
      <c r="N539" s="1519"/>
      <c r="O539" s="1519"/>
      <c r="P539" s="1519"/>
      <c r="Q539" s="1519"/>
      <c r="R539" s="1519"/>
      <c r="S539" s="1519"/>
      <c r="T539" s="1520"/>
      <c r="U539" s="1520"/>
      <c r="V539" s="1519"/>
      <c r="W539" s="1519"/>
      <c r="X539" s="1519"/>
      <c r="Y539" s="1519"/>
      <c r="Z539" s="1519"/>
      <c r="AA539" s="1519"/>
      <c r="AB539" s="1519"/>
      <c r="AC539" s="1519"/>
      <c r="AD539" s="1519"/>
      <c r="AE539" s="1519"/>
      <c r="AF539" s="1519"/>
      <c r="AG539" s="1519"/>
      <c r="AH539" s="1521"/>
    </row>
    <row r="540" spans="1:36" ht="12.95" customHeight="1" x14ac:dyDescent="0.25">
      <c r="A540" s="574" t="s">
        <v>705</v>
      </c>
      <c r="B540" s="93" t="s">
        <v>211</v>
      </c>
      <c r="C540" s="1109" t="s">
        <v>444</v>
      </c>
      <c r="D540" s="97">
        <v>1</v>
      </c>
      <c r="E540" s="97">
        <v>1</v>
      </c>
      <c r="F540" s="97">
        <v>1</v>
      </c>
      <c r="G540" s="97">
        <v>1</v>
      </c>
      <c r="H540" s="97">
        <f>ROUND((F540/G540),2)</f>
        <v>1</v>
      </c>
      <c r="I540" s="65">
        <v>180</v>
      </c>
      <c r="J540" s="65">
        <v>90</v>
      </c>
      <c r="K540" s="66">
        <v>95</v>
      </c>
      <c r="L540" s="98">
        <v>0.01</v>
      </c>
      <c r="M540" s="98">
        <v>0.01</v>
      </c>
      <c r="N540" s="97">
        <v>4</v>
      </c>
      <c r="O540" s="97">
        <v>6</v>
      </c>
      <c r="P540" s="97">
        <v>20</v>
      </c>
      <c r="Q540" s="97">
        <v>1</v>
      </c>
      <c r="R540" s="96">
        <v>1</v>
      </c>
      <c r="S540" s="97">
        <v>2</v>
      </c>
      <c r="T540" s="96">
        <v>4</v>
      </c>
      <c r="U540" s="96">
        <v>4</v>
      </c>
      <c r="V540" s="108">
        <f>ROUND((R540*N540+T540*L540+Q540*D540),4)</f>
        <v>5.04</v>
      </c>
      <c r="W540" s="109">
        <f>ROUND((S540*O540+U540*L540+Q540*D540),4)</f>
        <v>13.04</v>
      </c>
      <c r="X540" s="109">
        <f>ROUND((S540*P540+U540*L540+Q540*D540),4)</f>
        <v>41.04</v>
      </c>
      <c r="Y540" s="109">
        <f>ROUND((T540*M540+Q540*E540),4)</f>
        <v>1.04</v>
      </c>
      <c r="Z540" s="109">
        <f>ROUND((U540*M540+Q540*E540),4)</f>
        <v>1.04</v>
      </c>
      <c r="AA540" s="109">
        <f>ROUND((U540*M540+Q540*E540),4)</f>
        <v>1.04</v>
      </c>
      <c r="AB540" s="109">
        <f>ROUND((H540*(V540+Y540)*G540*I540/1000000),4)</f>
        <v>1.1000000000000001E-3</v>
      </c>
      <c r="AC540" s="109">
        <f>ROUND((H540*(W540+Z540)*G540*J540/1000000),4)</f>
        <v>1.2999999999999999E-3</v>
      </c>
      <c r="AD540" s="109">
        <f>ROUND((H540*(X540+AA540)*G540*K540/1000000),4)</f>
        <v>4.0000000000000001E-3</v>
      </c>
      <c r="AE540" s="103" t="s">
        <v>48</v>
      </c>
      <c r="AF540" s="104" t="s">
        <v>49</v>
      </c>
      <c r="AG540" s="105">
        <f>ROUND(((X540*F540/3600)*0.8),4)</f>
        <v>9.1000000000000004E-3</v>
      </c>
      <c r="AH540" s="105">
        <f>ROUND(((AB540+AC540+AD540)*0.8),4)</f>
        <v>5.1000000000000004E-3</v>
      </c>
    </row>
    <row r="541" spans="1:36" ht="12.95" customHeight="1" x14ac:dyDescent="0.25">
      <c r="A541" s="575" t="s">
        <v>150</v>
      </c>
      <c r="B541" s="94" t="s">
        <v>212</v>
      </c>
      <c r="C541" s="1110"/>
      <c r="D541" s="94"/>
      <c r="E541" s="94"/>
      <c r="F541" s="94"/>
      <c r="G541" s="94"/>
      <c r="H541" s="94"/>
      <c r="I541" s="94"/>
      <c r="J541" s="94"/>
      <c r="K541" s="94"/>
      <c r="L541" s="99"/>
      <c r="M541" s="99"/>
      <c r="N541" s="94"/>
      <c r="O541" s="94"/>
      <c r="P541" s="94"/>
      <c r="Q541" s="101"/>
      <c r="R541" s="101"/>
      <c r="S541" s="102"/>
      <c r="T541" s="101"/>
      <c r="U541" s="101"/>
      <c r="V541" s="110"/>
      <c r="W541" s="111"/>
      <c r="X541" s="111"/>
      <c r="Y541" s="111"/>
      <c r="Z541" s="111"/>
      <c r="AA541" s="111"/>
      <c r="AB541" s="111"/>
      <c r="AC541" s="111"/>
      <c r="AD541" s="111"/>
      <c r="AE541" s="103" t="s">
        <v>51</v>
      </c>
      <c r="AF541" s="104" t="s">
        <v>52</v>
      </c>
      <c r="AG541" s="105">
        <f>ROUND(((X540*F540/3600)*0.13),4)</f>
        <v>1.5E-3</v>
      </c>
      <c r="AH541" s="105">
        <f>ROUND(((AB540+AC540+AD540)*0.13),4)</f>
        <v>8.0000000000000004E-4</v>
      </c>
    </row>
    <row r="542" spans="1:36" ht="12.95" customHeight="1" x14ac:dyDescent="0.25">
      <c r="A542" s="576"/>
      <c r="B542" s="95" t="s">
        <v>491</v>
      </c>
      <c r="C542" s="95"/>
      <c r="D542" s="94"/>
      <c r="E542" s="94"/>
      <c r="F542" s="94"/>
      <c r="G542" s="94"/>
      <c r="H542" s="94"/>
      <c r="I542" s="94"/>
      <c r="J542" s="94"/>
      <c r="K542" s="94"/>
      <c r="L542" s="99"/>
      <c r="M542" s="99"/>
      <c r="N542" s="94"/>
      <c r="O542" s="94"/>
      <c r="P542" s="94"/>
      <c r="Q542" s="105">
        <v>0.1</v>
      </c>
      <c r="R542" s="106">
        <v>0.113</v>
      </c>
      <c r="S542" s="107">
        <v>0.13600000000000001</v>
      </c>
      <c r="T542" s="106">
        <v>0.54</v>
      </c>
      <c r="U542" s="106">
        <v>0.67</v>
      </c>
      <c r="V542" s="108">
        <f>ROUND((R542*N540+T542*L540+Q542*D540),4)</f>
        <v>0.55740000000000001</v>
      </c>
      <c r="W542" s="109">
        <f>ROUND((S542*0.9*O540+U542*0.9*L540+Q542*D540),4)</f>
        <v>0.84040000000000004</v>
      </c>
      <c r="X542" s="109">
        <f>ROUND((S542*P540+U542*L540+Q542*D540),4)</f>
        <v>2.8267000000000002</v>
      </c>
      <c r="Y542" s="109">
        <f>ROUND((T542*M540+Q542*E540),4)</f>
        <v>0.10539999999999999</v>
      </c>
      <c r="Z542" s="109">
        <f>ROUND((U542*0.9*M540+Q542*E540),4)</f>
        <v>0.106</v>
      </c>
      <c r="AA542" s="109">
        <f>ROUND((U542*M540+Q542*E540),4)</f>
        <v>0.1067</v>
      </c>
      <c r="AB542" s="109">
        <f>ROUND((H540*(V542+Y542)*G540*I540/1000000),5)</f>
        <v>1.2E-4</v>
      </c>
      <c r="AC542" s="109">
        <f>ROUND((H540*(W542+Z542)*G540*J540/1000000),5)</f>
        <v>9.0000000000000006E-5</v>
      </c>
      <c r="AD542" s="109">
        <f>ROUND((H540*(X542+AA542)*G540*K540/1000000),5)</f>
        <v>2.7999999999999998E-4</v>
      </c>
      <c r="AE542" s="103" t="s">
        <v>56</v>
      </c>
      <c r="AF542" s="104" t="s">
        <v>57</v>
      </c>
      <c r="AG542" s="105">
        <f>ROUND(((X542*F540/3600)),4)</f>
        <v>8.0000000000000004E-4</v>
      </c>
      <c r="AH542" s="105">
        <f>AB542+AC542+AD542</f>
        <v>4.8999999999999998E-4</v>
      </c>
    </row>
    <row r="543" spans="1:36" ht="12.95" customHeight="1" x14ac:dyDescent="0.25">
      <c r="A543" s="576"/>
      <c r="B543" s="166"/>
      <c r="C543" s="94"/>
      <c r="D543" s="94"/>
      <c r="E543" s="94"/>
      <c r="F543" s="94"/>
      <c r="G543" s="94"/>
      <c r="H543" s="94"/>
      <c r="I543" s="94"/>
      <c r="J543" s="94"/>
      <c r="K543" s="94"/>
      <c r="L543" s="99"/>
      <c r="M543" s="99"/>
      <c r="N543" s="94"/>
      <c r="O543" s="94"/>
      <c r="P543" s="94"/>
      <c r="Q543" s="105">
        <v>0.45</v>
      </c>
      <c r="R543" s="106">
        <v>0.4</v>
      </c>
      <c r="S543" s="105">
        <v>1.1000000000000001</v>
      </c>
      <c r="T543" s="106">
        <v>1</v>
      </c>
      <c r="U543" s="106">
        <v>1.2</v>
      </c>
      <c r="V543" s="108">
        <f>ROUND((R543*N540+T543*L540+Q543*D540),4)</f>
        <v>2.06</v>
      </c>
      <c r="W543" s="109">
        <f>ROUND((S543*0.9*O540+U543*0.9*L540+Q543*D540),4)</f>
        <v>6.4008000000000003</v>
      </c>
      <c r="X543" s="109">
        <f>ROUND((S543*P540+U543*L540+Q543*D540),4)</f>
        <v>22.462</v>
      </c>
      <c r="Y543" s="109">
        <f>ROUND((T543*M540+Q543*E540),4)</f>
        <v>0.46</v>
      </c>
      <c r="Z543" s="109">
        <f>ROUND((U543*0.9*M540+Q543*E540),4)</f>
        <v>0.46079999999999999</v>
      </c>
      <c r="AA543" s="109">
        <f>ROUND((U543*M540+Q543*E540),4)</f>
        <v>0.46200000000000002</v>
      </c>
      <c r="AB543" s="109">
        <f>ROUND((H540*(V543+Y543)*G540*I540/1000000),4)</f>
        <v>5.0000000000000001E-4</v>
      </c>
      <c r="AC543" s="109">
        <f>ROUND((H540*(W543+Z543)*G540*J540/1000000),4)</f>
        <v>5.9999999999999995E-4</v>
      </c>
      <c r="AD543" s="109">
        <f>ROUND((H540*(X543+AA543)*G540*K540/1000000),4)</f>
        <v>2.2000000000000001E-3</v>
      </c>
      <c r="AE543" s="103" t="s">
        <v>177</v>
      </c>
      <c r="AF543" s="104" t="s">
        <v>178</v>
      </c>
      <c r="AG543" s="105">
        <f>ROUND(((X543*F540/3600)),4)</f>
        <v>6.1999999999999998E-3</v>
      </c>
      <c r="AH543" s="105">
        <f>AB543+AC543+AD543</f>
        <v>3.3E-3</v>
      </c>
    </row>
    <row r="544" spans="1:36" ht="12.95" customHeight="1" x14ac:dyDescent="0.25">
      <c r="A544" s="577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9"/>
      <c r="M544" s="99"/>
      <c r="N544" s="94"/>
      <c r="O544" s="94"/>
      <c r="P544" s="94"/>
      <c r="Q544" s="105">
        <v>2.9</v>
      </c>
      <c r="R544" s="106">
        <v>3</v>
      </c>
      <c r="S544" s="105">
        <v>8.1999999999999993</v>
      </c>
      <c r="T544" s="106">
        <v>6.1</v>
      </c>
      <c r="U544" s="106">
        <v>7.4</v>
      </c>
      <c r="V544" s="167">
        <f>ROUND((R544*N540+T544*L540+Q544*D540),4)</f>
        <v>14.961</v>
      </c>
      <c r="W544" s="168">
        <f>ROUND((S544*0.9*O540+U544*0.9*L540+Q544*D540),4)</f>
        <v>47.246600000000001</v>
      </c>
      <c r="X544" s="168">
        <f>ROUND((S544*P540+U544*L540+Q544*D540),4)</f>
        <v>166.97399999999999</v>
      </c>
      <c r="Y544" s="168">
        <f>ROUND((T544*M540+Q544*E540),4)</f>
        <v>2.9609999999999999</v>
      </c>
      <c r="Z544" s="168">
        <f>ROUND((U544*0.9*M540+Q544*E540),4)</f>
        <v>2.9666000000000001</v>
      </c>
      <c r="AA544" s="168">
        <f>ROUND((U544*M540+Q544*E540),4)</f>
        <v>2.9740000000000002</v>
      </c>
      <c r="AB544" s="168">
        <f>ROUND((H540*(V544+Y544)*G540*I540/1000000),4)</f>
        <v>3.2000000000000002E-3</v>
      </c>
      <c r="AC544" s="168">
        <f>ROUND((H540*(W544+Z544)*G540*J540/1000000),4)</f>
        <v>4.4999999999999997E-3</v>
      </c>
      <c r="AD544" s="168">
        <f>ROUND((H540*(X544+AA544)*G540*K540/1000000),4)</f>
        <v>1.61E-2</v>
      </c>
      <c r="AE544" s="103" t="s">
        <v>65</v>
      </c>
      <c r="AF544" s="104" t="s">
        <v>66</v>
      </c>
      <c r="AG544" s="105">
        <f>ROUND(((X544*F540/3600)),4)</f>
        <v>4.6399999999999997E-2</v>
      </c>
      <c r="AH544" s="105">
        <f>AB544+AC544+AD544</f>
        <v>2.3800000000000002E-2</v>
      </c>
    </row>
    <row r="545" spans="1:36" ht="12.95" customHeight="1" x14ac:dyDescent="0.25">
      <c r="A545" s="581"/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  <c r="L545" s="102"/>
      <c r="M545" s="102"/>
      <c r="N545" s="101"/>
      <c r="O545" s="101"/>
      <c r="P545" s="101"/>
      <c r="Q545" s="105">
        <v>0.04</v>
      </c>
      <c r="R545" s="106">
        <v>0.04</v>
      </c>
      <c r="S545" s="105">
        <v>0.16</v>
      </c>
      <c r="T545" s="106">
        <v>0.3</v>
      </c>
      <c r="U545" s="106">
        <v>0.4</v>
      </c>
      <c r="V545" s="167">
        <f>ROUND((R545*N540+T545*L540+Q545*D540),4)</f>
        <v>0.20300000000000001</v>
      </c>
      <c r="W545" s="168">
        <f>ROUND((S545*0.9*O540+U545*0.9*L540+Q545*D540),4)</f>
        <v>0.90759999999999996</v>
      </c>
      <c r="X545" s="168">
        <f>ROUND((S545*P540+U545*L540+Q545*D540),4)</f>
        <v>3.2440000000000002</v>
      </c>
      <c r="Y545" s="168">
        <f>ROUND((T545*M540+Q545*E540),4)</f>
        <v>4.2999999999999997E-2</v>
      </c>
      <c r="Z545" s="168">
        <f>ROUND((U545*0.9*M540+Q545*E540),4)</f>
        <v>4.36E-2</v>
      </c>
      <c r="AA545" s="168">
        <f>ROUND((U545*M540+Q545*E540),4)</f>
        <v>4.3999999999999997E-2</v>
      </c>
      <c r="AB545" s="168">
        <f>ROUND((H540*(V545+Y545)*G540*I540/1000000),5)</f>
        <v>4.0000000000000003E-5</v>
      </c>
      <c r="AC545" s="168">
        <f>ROUND((H540*(W545+Z545)*G540*J540/1000000),5)</f>
        <v>9.0000000000000006E-5</v>
      </c>
      <c r="AD545" s="168">
        <f>ROUND((H540*(X545+AA545)*G540*K540/1000000),4)</f>
        <v>2.9999999999999997E-4</v>
      </c>
      <c r="AE545" s="103" t="s">
        <v>213</v>
      </c>
      <c r="AF545" s="104" t="s">
        <v>62</v>
      </c>
      <c r="AG545" s="105">
        <f>ROUND(((X545*F540/3600)),4)</f>
        <v>8.9999999999999998E-4</v>
      </c>
      <c r="AH545" s="105">
        <f>AB545+AC545+AD545</f>
        <v>4.2999999999999999E-4</v>
      </c>
      <c r="AI545" s="61">
        <f>SUM(AG540:AG545)</f>
        <v>6.4899999999999999E-2</v>
      </c>
      <c r="AJ545" s="61">
        <f>SUM(AH540:AH545)</f>
        <v>3.3920000000000006E-2</v>
      </c>
    </row>
    <row r="546" spans="1:36" ht="12.95" customHeight="1" x14ac:dyDescent="0.25">
      <c r="A546" s="1518" t="s">
        <v>710</v>
      </c>
      <c r="B546" s="1519"/>
      <c r="C546" s="1519"/>
      <c r="D546" s="1519"/>
      <c r="E546" s="1519"/>
      <c r="F546" s="1519"/>
      <c r="G546" s="1519"/>
      <c r="H546" s="1519"/>
      <c r="I546" s="1519"/>
      <c r="J546" s="1519"/>
      <c r="K546" s="1519"/>
      <c r="L546" s="1519"/>
      <c r="M546" s="1519"/>
      <c r="N546" s="1519"/>
      <c r="O546" s="1519"/>
      <c r="P546" s="1519"/>
      <c r="Q546" s="1519"/>
      <c r="R546" s="1519"/>
      <c r="S546" s="1519"/>
      <c r="T546" s="1520"/>
      <c r="U546" s="1520"/>
      <c r="V546" s="1519"/>
      <c r="W546" s="1519"/>
      <c r="X546" s="1519"/>
      <c r="Y546" s="1519"/>
      <c r="Z546" s="1519"/>
      <c r="AA546" s="1519"/>
      <c r="AB546" s="1519"/>
      <c r="AC546" s="1519"/>
      <c r="AD546" s="1519"/>
      <c r="AE546" s="1519"/>
      <c r="AF546" s="1519"/>
      <c r="AG546" s="1519"/>
      <c r="AH546" s="1521"/>
    </row>
    <row r="547" spans="1:36" ht="12.95" customHeight="1" x14ac:dyDescent="0.25">
      <c r="A547" s="574" t="s">
        <v>706</v>
      </c>
      <c r="B547" s="93" t="s">
        <v>211</v>
      </c>
      <c r="C547" s="1109" t="s">
        <v>444</v>
      </c>
      <c r="D547" s="97">
        <v>1</v>
      </c>
      <c r="E547" s="97">
        <v>1</v>
      </c>
      <c r="F547" s="97">
        <v>1</v>
      </c>
      <c r="G547" s="97">
        <v>1</v>
      </c>
      <c r="H547" s="97">
        <f>ROUND((F547/G547),2)</f>
        <v>1</v>
      </c>
      <c r="I547" s="97">
        <v>173</v>
      </c>
      <c r="J547" s="97">
        <v>0</v>
      </c>
      <c r="K547" s="98">
        <v>0</v>
      </c>
      <c r="L547" s="98">
        <v>0.01</v>
      </c>
      <c r="M547" s="98">
        <v>0.01</v>
      </c>
      <c r="N547" s="97">
        <v>4</v>
      </c>
      <c r="O547" s="97">
        <v>6</v>
      </c>
      <c r="P547" s="97">
        <v>20</v>
      </c>
      <c r="Q547" s="97">
        <v>1</v>
      </c>
      <c r="R547" s="96">
        <v>1</v>
      </c>
      <c r="S547" s="97">
        <v>2</v>
      </c>
      <c r="T547" s="96">
        <v>4</v>
      </c>
      <c r="U547" s="96">
        <v>4</v>
      </c>
      <c r="V547" s="108">
        <f>ROUND((R547*N547+T547*L547+Q547*D547),4)</f>
        <v>5.04</v>
      </c>
      <c r="W547" s="109">
        <f>ROUND((S547*O547+U547*L547+Q547*D547),4)</f>
        <v>13.04</v>
      </c>
      <c r="X547" s="109">
        <f>ROUND((S547*P547+U547*L547+Q547*D547),4)</f>
        <v>41.04</v>
      </c>
      <c r="Y547" s="109">
        <f>ROUND((T547*M547+Q547*E547),4)</f>
        <v>1.04</v>
      </c>
      <c r="Z547" s="109">
        <f>ROUND((U547*M547+Q547*E547),4)</f>
        <v>1.04</v>
      </c>
      <c r="AA547" s="109">
        <f>ROUND((U547*M547+Q547*E547),4)</f>
        <v>1.04</v>
      </c>
      <c r="AB547" s="109">
        <f>ROUND((H547*(V547+Y547)*G547*I547/1000000),4)</f>
        <v>1.1000000000000001E-3</v>
      </c>
      <c r="AC547" s="109">
        <f>ROUND((H547*(W547+Z547)*G547*J547/1000000),4)</f>
        <v>0</v>
      </c>
      <c r="AD547" s="109">
        <f>ROUND((H547*(X547+AA547)*G547*K547/1000000),4)</f>
        <v>0</v>
      </c>
      <c r="AE547" s="103" t="s">
        <v>48</v>
      </c>
      <c r="AF547" s="104" t="s">
        <v>49</v>
      </c>
      <c r="AG547" s="105">
        <f>ROUND(((X547*F547/3600)*0.8),4)</f>
        <v>9.1000000000000004E-3</v>
      </c>
      <c r="AH547" s="105">
        <f>ROUND(((AB547+AC547+AD547)*0.8),4)</f>
        <v>8.9999999999999998E-4</v>
      </c>
    </row>
    <row r="548" spans="1:36" ht="12.95" customHeight="1" x14ac:dyDescent="0.25">
      <c r="A548" s="575" t="s">
        <v>150</v>
      </c>
      <c r="B548" s="94" t="s">
        <v>212</v>
      </c>
      <c r="C548" s="1110"/>
      <c r="D548" s="94"/>
      <c r="E548" s="94"/>
      <c r="F548" s="94"/>
      <c r="G548" s="94"/>
      <c r="H548" s="94"/>
      <c r="I548" s="94"/>
      <c r="J548" s="94"/>
      <c r="K548" s="94"/>
      <c r="L548" s="99"/>
      <c r="M548" s="99"/>
      <c r="N548" s="94"/>
      <c r="O548" s="94"/>
      <c r="P548" s="94"/>
      <c r="Q548" s="101"/>
      <c r="R548" s="101"/>
      <c r="S548" s="102"/>
      <c r="T548" s="101"/>
      <c r="U548" s="101"/>
      <c r="V548" s="110"/>
      <c r="W548" s="111"/>
      <c r="X548" s="111"/>
      <c r="Y548" s="111"/>
      <c r="Z548" s="111"/>
      <c r="AA548" s="111"/>
      <c r="AB548" s="111"/>
      <c r="AC548" s="111"/>
      <c r="AD548" s="111"/>
      <c r="AE548" s="103" t="s">
        <v>51</v>
      </c>
      <c r="AF548" s="104" t="s">
        <v>52</v>
      </c>
      <c r="AG548" s="105">
        <f>ROUND(((X547*F547/3600)*0.13),4)</f>
        <v>1.5E-3</v>
      </c>
      <c r="AH548" s="105">
        <f>ROUND(((AB547+AC547+AD547)*0.13),4)</f>
        <v>1E-4</v>
      </c>
    </row>
    <row r="549" spans="1:36" ht="12.95" customHeight="1" x14ac:dyDescent="0.25">
      <c r="A549" s="576"/>
      <c r="B549" s="95" t="s">
        <v>491</v>
      </c>
      <c r="C549" s="95"/>
      <c r="D549" s="94"/>
      <c r="E549" s="94"/>
      <c r="F549" s="94"/>
      <c r="G549" s="94"/>
      <c r="H549" s="94"/>
      <c r="I549" s="94"/>
      <c r="J549" s="94"/>
      <c r="K549" s="94"/>
      <c r="L549" s="99"/>
      <c r="M549" s="99"/>
      <c r="N549" s="94"/>
      <c r="O549" s="94"/>
      <c r="P549" s="94"/>
      <c r="Q549" s="105">
        <v>0.1</v>
      </c>
      <c r="R549" s="106">
        <v>0.113</v>
      </c>
      <c r="S549" s="107">
        <v>0.13600000000000001</v>
      </c>
      <c r="T549" s="106">
        <v>0.54</v>
      </c>
      <c r="U549" s="106">
        <v>0.67</v>
      </c>
      <c r="V549" s="108">
        <f>ROUND((R549*N547+T549*L547+Q549*D547),4)</f>
        <v>0.55740000000000001</v>
      </c>
      <c r="W549" s="109">
        <f>ROUND((S549*0.9*O547+U549*0.9*L547+Q549*D547),4)</f>
        <v>0.84040000000000004</v>
      </c>
      <c r="X549" s="109">
        <f>ROUND((S549*P547+U549*L547+Q549*D547),4)</f>
        <v>2.8267000000000002</v>
      </c>
      <c r="Y549" s="109">
        <f>ROUND((T549*M547+Q549*E547),4)</f>
        <v>0.10539999999999999</v>
      </c>
      <c r="Z549" s="109">
        <f>ROUND((U549*0.9*M547+Q549*E547),4)</f>
        <v>0.106</v>
      </c>
      <c r="AA549" s="109">
        <f>ROUND((U549*M547+Q549*E547),4)</f>
        <v>0.1067</v>
      </c>
      <c r="AB549" s="109">
        <f>ROUND((H547*(V549+Y549)*G547*I547/1000000),5)</f>
        <v>1.1E-4</v>
      </c>
      <c r="AC549" s="109">
        <f>ROUND((H547*(W549+Z549)*G547*J547/1000000),5)</f>
        <v>0</v>
      </c>
      <c r="AD549" s="109">
        <f>ROUND((H547*(X549+AA549)*G547*K547/1000000),5)</f>
        <v>0</v>
      </c>
      <c r="AE549" s="103" t="s">
        <v>56</v>
      </c>
      <c r="AF549" s="104" t="s">
        <v>57</v>
      </c>
      <c r="AG549" s="105">
        <f>ROUND(((X549*F547/3600)),4)</f>
        <v>8.0000000000000004E-4</v>
      </c>
      <c r="AH549" s="105">
        <f>AB549+AC549+AD549</f>
        <v>1.1E-4</v>
      </c>
    </row>
    <row r="550" spans="1:36" ht="12.95" customHeight="1" x14ac:dyDescent="0.25">
      <c r="A550" s="576"/>
      <c r="B550" s="166"/>
      <c r="C550" s="94"/>
      <c r="D550" s="94"/>
      <c r="E550" s="94"/>
      <c r="F550" s="94"/>
      <c r="G550" s="94"/>
      <c r="H550" s="94"/>
      <c r="I550" s="94"/>
      <c r="J550" s="94"/>
      <c r="K550" s="94"/>
      <c r="L550" s="99"/>
      <c r="M550" s="99"/>
      <c r="N550" s="94"/>
      <c r="O550" s="94"/>
      <c r="P550" s="94"/>
      <c r="Q550" s="105">
        <v>0.45</v>
      </c>
      <c r="R550" s="106">
        <v>0.4</v>
      </c>
      <c r="S550" s="105">
        <v>1.1000000000000001</v>
      </c>
      <c r="T550" s="106">
        <v>1</v>
      </c>
      <c r="U550" s="106">
        <v>1.2</v>
      </c>
      <c r="V550" s="108">
        <f>ROUND((R550*N547+T550*L547+Q550*D547),4)</f>
        <v>2.06</v>
      </c>
      <c r="W550" s="109">
        <f>ROUND((S550*0.9*O547+U550*0.9*L547+Q550*D547),4)</f>
        <v>6.4008000000000003</v>
      </c>
      <c r="X550" s="109">
        <f>ROUND((S550*P547+U550*L547+Q550*D547),4)</f>
        <v>22.462</v>
      </c>
      <c r="Y550" s="109">
        <f>ROUND((T550*M547+Q550*E547),4)</f>
        <v>0.46</v>
      </c>
      <c r="Z550" s="109">
        <f>ROUND((U550*0.9*M547+Q550*E547),4)</f>
        <v>0.46079999999999999</v>
      </c>
      <c r="AA550" s="109">
        <f>ROUND((U550*M547+Q550*E547),4)</f>
        <v>0.46200000000000002</v>
      </c>
      <c r="AB550" s="109">
        <f>ROUND((H547*(V550+Y550)*G547*I547/1000000),4)</f>
        <v>4.0000000000000002E-4</v>
      </c>
      <c r="AC550" s="109">
        <f>ROUND((H547*(W550+Z550)*G547*J547/1000000),4)</f>
        <v>0</v>
      </c>
      <c r="AD550" s="109">
        <f>ROUND((H547*(X550+AA550)*G547*K547/1000000),4)</f>
        <v>0</v>
      </c>
      <c r="AE550" s="103" t="s">
        <v>177</v>
      </c>
      <c r="AF550" s="104" t="s">
        <v>178</v>
      </c>
      <c r="AG550" s="105">
        <f>ROUND(((X550*F547/3600)),4)</f>
        <v>6.1999999999999998E-3</v>
      </c>
      <c r="AH550" s="105">
        <f>AB550+AC550+AD550</f>
        <v>4.0000000000000002E-4</v>
      </c>
    </row>
    <row r="551" spans="1:36" ht="12.95" customHeight="1" x14ac:dyDescent="0.25">
      <c r="A551" s="577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9"/>
      <c r="M551" s="99"/>
      <c r="N551" s="94"/>
      <c r="O551" s="94"/>
      <c r="P551" s="94"/>
      <c r="Q551" s="105">
        <v>2.9</v>
      </c>
      <c r="R551" s="106">
        <v>3</v>
      </c>
      <c r="S551" s="105">
        <v>8.1999999999999993</v>
      </c>
      <c r="T551" s="106">
        <v>6.1</v>
      </c>
      <c r="U551" s="106">
        <v>7.4</v>
      </c>
      <c r="V551" s="167">
        <f>ROUND((R551*N547+T551*L547+Q551*D547),4)</f>
        <v>14.961</v>
      </c>
      <c r="W551" s="168">
        <f>ROUND((S551*0.9*O547+U551*0.9*L547+Q551*D547),4)</f>
        <v>47.246600000000001</v>
      </c>
      <c r="X551" s="168">
        <f>ROUND((S551*P547+U551*L547+Q551*D547),4)</f>
        <v>166.97399999999999</v>
      </c>
      <c r="Y551" s="168">
        <f>ROUND((T551*M547+Q551*E547),4)</f>
        <v>2.9609999999999999</v>
      </c>
      <c r="Z551" s="168">
        <f>ROUND((U551*0.9*M547+Q551*E547),4)</f>
        <v>2.9666000000000001</v>
      </c>
      <c r="AA551" s="168">
        <f>ROUND((U551*M547+Q551*E547),4)</f>
        <v>2.9740000000000002</v>
      </c>
      <c r="AB551" s="168">
        <f>ROUND((H547*(V551+Y551)*G547*I547/1000000),4)</f>
        <v>3.0999999999999999E-3</v>
      </c>
      <c r="AC551" s="168">
        <f>ROUND((H547*(W551+Z551)*G547*J547/1000000),4)</f>
        <v>0</v>
      </c>
      <c r="AD551" s="168">
        <f>ROUND((H547*(X551+AA551)*G547*K547/1000000),4)</f>
        <v>0</v>
      </c>
      <c r="AE551" s="103" t="s">
        <v>65</v>
      </c>
      <c r="AF551" s="104" t="s">
        <v>66</v>
      </c>
      <c r="AG551" s="105">
        <f>ROUND(((X551*F547/3600)),4)</f>
        <v>4.6399999999999997E-2</v>
      </c>
      <c r="AH551" s="105">
        <f>AB551+AC551+AD551</f>
        <v>3.0999999999999999E-3</v>
      </c>
    </row>
    <row r="552" spans="1:36" ht="12.95" customHeight="1" x14ac:dyDescent="0.25">
      <c r="A552" s="581"/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  <c r="L552" s="102"/>
      <c r="M552" s="102"/>
      <c r="N552" s="101"/>
      <c r="O552" s="101"/>
      <c r="P552" s="101"/>
      <c r="Q552" s="105">
        <v>0.04</v>
      </c>
      <c r="R552" s="106">
        <v>0.04</v>
      </c>
      <c r="S552" s="105">
        <v>0.16</v>
      </c>
      <c r="T552" s="106">
        <v>0.3</v>
      </c>
      <c r="U552" s="106">
        <v>0.4</v>
      </c>
      <c r="V552" s="167">
        <f>ROUND((R552*N547+T552*L547+Q552*D547),4)</f>
        <v>0.20300000000000001</v>
      </c>
      <c r="W552" s="168">
        <f>ROUND((S552*0.9*O547+U552*0.9*L547+Q552*D547),4)</f>
        <v>0.90759999999999996</v>
      </c>
      <c r="X552" s="168">
        <f>ROUND((S552*P547+U552*L547+Q552*D547),4)</f>
        <v>3.2440000000000002</v>
      </c>
      <c r="Y552" s="168">
        <f>ROUND((T552*M547+Q552*E547),4)</f>
        <v>4.2999999999999997E-2</v>
      </c>
      <c r="Z552" s="168">
        <f>ROUND((U552*0.9*M547+Q552*E547),4)</f>
        <v>4.36E-2</v>
      </c>
      <c r="AA552" s="168">
        <f>ROUND((U552*M547+Q552*E547),4)</f>
        <v>4.3999999999999997E-2</v>
      </c>
      <c r="AB552" s="168">
        <f>ROUND((H547*(V552+Y552)*G547*I547/1000000),5)</f>
        <v>4.0000000000000003E-5</v>
      </c>
      <c r="AC552" s="168">
        <f>ROUND((H547*(W552+Z552)*G547*J547/1000000),5)</f>
        <v>0</v>
      </c>
      <c r="AD552" s="168">
        <f>ROUND((H547*(X552+AA552)*G547*K547/1000000),4)</f>
        <v>0</v>
      </c>
      <c r="AE552" s="103" t="s">
        <v>213</v>
      </c>
      <c r="AF552" s="104" t="s">
        <v>62</v>
      </c>
      <c r="AG552" s="105">
        <f>ROUND(((X552*F547/3600)),4)</f>
        <v>8.9999999999999998E-4</v>
      </c>
      <c r="AH552" s="105">
        <f>AB552+AC552+AD552</f>
        <v>4.0000000000000003E-5</v>
      </c>
      <c r="AI552" s="61">
        <f>SUM(AG547:AG552)</f>
        <v>6.4899999999999999E-2</v>
      </c>
      <c r="AJ552" s="61">
        <f>SUM(AH547:AH552)</f>
        <v>4.6499999999999996E-3</v>
      </c>
    </row>
    <row r="553" spans="1:36" ht="12.95" customHeight="1" x14ac:dyDescent="0.25">
      <c r="A553" s="1518" t="s">
        <v>711</v>
      </c>
      <c r="B553" s="1519"/>
      <c r="C553" s="1519"/>
      <c r="D553" s="1519"/>
      <c r="E553" s="1519"/>
      <c r="F553" s="1519"/>
      <c r="G553" s="1519"/>
      <c r="H553" s="1519"/>
      <c r="I553" s="1519"/>
      <c r="J553" s="1519"/>
      <c r="K553" s="1519"/>
      <c r="L553" s="1519"/>
      <c r="M553" s="1519"/>
      <c r="N553" s="1519"/>
      <c r="O553" s="1519"/>
      <c r="P553" s="1519"/>
      <c r="Q553" s="1519"/>
      <c r="R553" s="1519"/>
      <c r="S553" s="1519"/>
      <c r="T553" s="1520"/>
      <c r="U553" s="1520"/>
      <c r="V553" s="1519"/>
      <c r="W553" s="1519"/>
      <c r="X553" s="1519"/>
      <c r="Y553" s="1519"/>
      <c r="Z553" s="1519"/>
      <c r="AA553" s="1519"/>
      <c r="AB553" s="1519"/>
      <c r="AC553" s="1519"/>
      <c r="AD553" s="1519"/>
      <c r="AE553" s="1519"/>
      <c r="AF553" s="1519"/>
      <c r="AG553" s="1519"/>
      <c r="AH553" s="1521"/>
    </row>
    <row r="554" spans="1:36" ht="12.95" customHeight="1" x14ac:dyDescent="0.25">
      <c r="A554" s="574" t="s">
        <v>708</v>
      </c>
      <c r="B554" s="93" t="s">
        <v>211</v>
      </c>
      <c r="C554" s="1109" t="s">
        <v>444</v>
      </c>
      <c r="D554" s="97">
        <v>1</v>
      </c>
      <c r="E554" s="97">
        <v>1</v>
      </c>
      <c r="F554" s="97">
        <v>1</v>
      </c>
      <c r="G554" s="97">
        <v>1</v>
      </c>
      <c r="H554" s="97">
        <f>ROUND((F554/G554),2)</f>
        <v>1</v>
      </c>
      <c r="I554" s="97">
        <v>173</v>
      </c>
      <c r="J554" s="97">
        <v>0</v>
      </c>
      <c r="K554" s="98">
        <v>0</v>
      </c>
      <c r="L554" s="98">
        <v>0.01</v>
      </c>
      <c r="M554" s="98">
        <v>0.01</v>
      </c>
      <c r="N554" s="97">
        <v>4</v>
      </c>
      <c r="O554" s="97">
        <v>6</v>
      </c>
      <c r="P554" s="97">
        <v>20</v>
      </c>
      <c r="Q554" s="97">
        <v>1</v>
      </c>
      <c r="R554" s="96">
        <v>1</v>
      </c>
      <c r="S554" s="97">
        <v>2</v>
      </c>
      <c r="T554" s="96">
        <v>4</v>
      </c>
      <c r="U554" s="96">
        <v>4</v>
      </c>
      <c r="V554" s="108">
        <f>ROUND((R554*N554+T554*L554+Q554*D554),4)</f>
        <v>5.04</v>
      </c>
      <c r="W554" s="109">
        <f>ROUND((S554*O554+U554*L554+Q554*D554),4)</f>
        <v>13.04</v>
      </c>
      <c r="X554" s="109">
        <f>ROUND((S554*P554+U554*L554+Q554*D554),4)</f>
        <v>41.04</v>
      </c>
      <c r="Y554" s="109">
        <f>ROUND((T554*M554+Q554*E554),4)</f>
        <v>1.04</v>
      </c>
      <c r="Z554" s="109">
        <f>ROUND((U554*M554+Q554*E554),4)</f>
        <v>1.04</v>
      </c>
      <c r="AA554" s="109">
        <f>ROUND((U554*M554+Q554*E554),4)</f>
        <v>1.04</v>
      </c>
      <c r="AB554" s="109">
        <f>ROUND((H554*(V554+Y554)*G554*I554/1000000),4)</f>
        <v>1.1000000000000001E-3</v>
      </c>
      <c r="AC554" s="109">
        <f>ROUND((H554*(W554+Z554)*G554*J554/1000000),4)</f>
        <v>0</v>
      </c>
      <c r="AD554" s="109">
        <f>ROUND((H554*(X554+AA554)*G554*K554/1000000),4)</f>
        <v>0</v>
      </c>
      <c r="AE554" s="103" t="s">
        <v>48</v>
      </c>
      <c r="AF554" s="104" t="s">
        <v>49</v>
      </c>
      <c r="AG554" s="105">
        <f>ROUND(((X554*F554/3600)*0.8),4)</f>
        <v>9.1000000000000004E-3</v>
      </c>
      <c r="AH554" s="105">
        <f>ROUND(((AB554+AC554+AD554)*0.8),4)</f>
        <v>8.9999999999999998E-4</v>
      </c>
    </row>
    <row r="555" spans="1:36" ht="12.95" customHeight="1" x14ac:dyDescent="0.25">
      <c r="A555" s="575" t="s">
        <v>150</v>
      </c>
      <c r="B555" s="94" t="s">
        <v>212</v>
      </c>
      <c r="C555" s="1110"/>
      <c r="D555" s="94"/>
      <c r="E555" s="94"/>
      <c r="F555" s="94"/>
      <c r="G555" s="94"/>
      <c r="H555" s="94"/>
      <c r="I555" s="94"/>
      <c r="J555" s="94"/>
      <c r="K555" s="94"/>
      <c r="L555" s="99"/>
      <c r="M555" s="99"/>
      <c r="N555" s="94"/>
      <c r="O555" s="94"/>
      <c r="P555" s="94"/>
      <c r="Q555" s="101"/>
      <c r="R555" s="101"/>
      <c r="S555" s="102"/>
      <c r="T555" s="101"/>
      <c r="U555" s="101"/>
      <c r="V555" s="110"/>
      <c r="W555" s="111"/>
      <c r="X555" s="111"/>
      <c r="Y555" s="111"/>
      <c r="Z555" s="111"/>
      <c r="AA555" s="111"/>
      <c r="AB555" s="111"/>
      <c r="AC555" s="111"/>
      <c r="AD555" s="111"/>
      <c r="AE555" s="103" t="s">
        <v>51</v>
      </c>
      <c r="AF555" s="104" t="s">
        <v>52</v>
      </c>
      <c r="AG555" s="105">
        <f>ROUND(((X554*F554/3600)*0.13),4)</f>
        <v>1.5E-3</v>
      </c>
      <c r="AH555" s="105">
        <f>ROUND(((AB554+AC554+AD554)*0.13),4)</f>
        <v>1E-4</v>
      </c>
    </row>
    <row r="556" spans="1:36" ht="12.95" customHeight="1" x14ac:dyDescent="0.25">
      <c r="A556" s="576"/>
      <c r="B556" s="95" t="s">
        <v>491</v>
      </c>
      <c r="C556" s="95"/>
      <c r="D556" s="94"/>
      <c r="E556" s="94"/>
      <c r="F556" s="94"/>
      <c r="G556" s="94"/>
      <c r="H556" s="94"/>
      <c r="I556" s="94"/>
      <c r="J556" s="94"/>
      <c r="K556" s="94"/>
      <c r="L556" s="99"/>
      <c r="M556" s="99"/>
      <c r="N556" s="94"/>
      <c r="O556" s="94"/>
      <c r="P556" s="94"/>
      <c r="Q556" s="105">
        <v>0.1</v>
      </c>
      <c r="R556" s="106">
        <v>0.113</v>
      </c>
      <c r="S556" s="107">
        <v>0.13600000000000001</v>
      </c>
      <c r="T556" s="106">
        <v>0.54</v>
      </c>
      <c r="U556" s="106">
        <v>0.67</v>
      </c>
      <c r="V556" s="108">
        <f>ROUND((R556*N554+T556*L554+Q556*D554),4)</f>
        <v>0.55740000000000001</v>
      </c>
      <c r="W556" s="109">
        <f>ROUND((S556*0.9*O554+U556*0.9*L554+Q556*D554),4)</f>
        <v>0.84040000000000004</v>
      </c>
      <c r="X556" s="109">
        <f>ROUND((S556*P554+U556*L554+Q556*D554),4)</f>
        <v>2.8267000000000002</v>
      </c>
      <c r="Y556" s="109">
        <f>ROUND((T556*M554+Q556*E554),4)</f>
        <v>0.10539999999999999</v>
      </c>
      <c r="Z556" s="109">
        <f>ROUND((U556*0.9*M554+Q556*E554),4)</f>
        <v>0.106</v>
      </c>
      <c r="AA556" s="109">
        <f>ROUND((U556*M554+Q556*E554),4)</f>
        <v>0.1067</v>
      </c>
      <c r="AB556" s="109">
        <f>ROUND((H554*(V556+Y556)*G554*I554/1000000),5)</f>
        <v>1.1E-4</v>
      </c>
      <c r="AC556" s="109">
        <f>ROUND((H554*(W556+Z556)*G554*J554/1000000),5)</f>
        <v>0</v>
      </c>
      <c r="AD556" s="109">
        <f>ROUND((H554*(X556+AA556)*G554*K554/1000000),5)</f>
        <v>0</v>
      </c>
      <c r="AE556" s="103" t="s">
        <v>56</v>
      </c>
      <c r="AF556" s="104" t="s">
        <v>57</v>
      </c>
      <c r="AG556" s="105">
        <f>ROUND(((X556*F554/3600)),4)</f>
        <v>8.0000000000000004E-4</v>
      </c>
      <c r="AH556" s="105">
        <f>AB556+AC556+AD556</f>
        <v>1.1E-4</v>
      </c>
    </row>
    <row r="557" spans="1:36" ht="12.95" customHeight="1" x14ac:dyDescent="0.25">
      <c r="A557" s="576"/>
      <c r="B557" s="166"/>
      <c r="C557" s="94"/>
      <c r="D557" s="94"/>
      <c r="E557" s="94"/>
      <c r="F557" s="94"/>
      <c r="G557" s="94"/>
      <c r="H557" s="94"/>
      <c r="I557" s="94"/>
      <c r="J557" s="94"/>
      <c r="K557" s="94"/>
      <c r="L557" s="99"/>
      <c r="M557" s="99"/>
      <c r="N557" s="94"/>
      <c r="O557" s="94"/>
      <c r="P557" s="94"/>
      <c r="Q557" s="105">
        <v>0.45</v>
      </c>
      <c r="R557" s="106">
        <v>0.4</v>
      </c>
      <c r="S557" s="105">
        <v>1.1000000000000001</v>
      </c>
      <c r="T557" s="106">
        <v>1</v>
      </c>
      <c r="U557" s="106">
        <v>1.2</v>
      </c>
      <c r="V557" s="108">
        <f>ROUND((R557*N554+T557*L554+Q557*D554),4)</f>
        <v>2.06</v>
      </c>
      <c r="W557" s="109">
        <f>ROUND((S557*0.9*O554+U557*0.9*L554+Q557*D554),4)</f>
        <v>6.4008000000000003</v>
      </c>
      <c r="X557" s="109">
        <f>ROUND((S557*P554+U557*L554+Q557*D554),4)</f>
        <v>22.462</v>
      </c>
      <c r="Y557" s="109">
        <f>ROUND((T557*M554+Q557*E554),4)</f>
        <v>0.46</v>
      </c>
      <c r="Z557" s="109">
        <f>ROUND((U557*0.9*M554+Q557*E554),4)</f>
        <v>0.46079999999999999</v>
      </c>
      <c r="AA557" s="109">
        <f>ROUND((U557*M554+Q557*E554),4)</f>
        <v>0.46200000000000002</v>
      </c>
      <c r="AB557" s="109">
        <f>ROUND((H554*(V557+Y557)*G554*I554/1000000),4)</f>
        <v>4.0000000000000002E-4</v>
      </c>
      <c r="AC557" s="109">
        <f>ROUND((H554*(W557+Z557)*G554*J554/1000000),4)</f>
        <v>0</v>
      </c>
      <c r="AD557" s="109">
        <f>ROUND((H554*(X557+AA557)*G554*K554/1000000),4)</f>
        <v>0</v>
      </c>
      <c r="AE557" s="103" t="s">
        <v>177</v>
      </c>
      <c r="AF557" s="104" t="s">
        <v>178</v>
      </c>
      <c r="AG557" s="105">
        <f>ROUND(((X557*F554/3600)),4)</f>
        <v>6.1999999999999998E-3</v>
      </c>
      <c r="AH557" s="105">
        <f>AB557+AC557+AD557</f>
        <v>4.0000000000000002E-4</v>
      </c>
    </row>
    <row r="558" spans="1:36" ht="12.95" customHeight="1" x14ac:dyDescent="0.25">
      <c r="A558" s="577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9"/>
      <c r="M558" s="99"/>
      <c r="N558" s="94"/>
      <c r="O558" s="94"/>
      <c r="P558" s="94"/>
      <c r="Q558" s="105">
        <v>2.9</v>
      </c>
      <c r="R558" s="106">
        <v>3</v>
      </c>
      <c r="S558" s="105">
        <v>8.1999999999999993</v>
      </c>
      <c r="T558" s="106">
        <v>6.1</v>
      </c>
      <c r="U558" s="106">
        <v>7.4</v>
      </c>
      <c r="V558" s="167">
        <f>ROUND((R558*N554+T558*L554+Q558*D554),4)</f>
        <v>14.961</v>
      </c>
      <c r="W558" s="168">
        <f>ROUND((S558*0.9*O554+U558*0.9*L554+Q558*D554),4)</f>
        <v>47.246600000000001</v>
      </c>
      <c r="X558" s="168">
        <f>ROUND((S558*P554+U558*L554+Q558*D554),4)</f>
        <v>166.97399999999999</v>
      </c>
      <c r="Y558" s="168">
        <f>ROUND((T558*M554+Q558*E554),4)</f>
        <v>2.9609999999999999</v>
      </c>
      <c r="Z558" s="168">
        <f>ROUND((U558*0.9*M554+Q558*E554),4)</f>
        <v>2.9666000000000001</v>
      </c>
      <c r="AA558" s="168">
        <f>ROUND((U558*M554+Q558*E554),4)</f>
        <v>2.9740000000000002</v>
      </c>
      <c r="AB558" s="168">
        <f>ROUND((H554*(V558+Y558)*G554*I554/1000000),4)</f>
        <v>3.0999999999999999E-3</v>
      </c>
      <c r="AC558" s="168">
        <f>ROUND((H554*(W558+Z558)*G554*J554/1000000),4)</f>
        <v>0</v>
      </c>
      <c r="AD558" s="168">
        <f>ROUND((H554*(X558+AA558)*G554*K554/1000000),4)</f>
        <v>0</v>
      </c>
      <c r="AE558" s="103" t="s">
        <v>65</v>
      </c>
      <c r="AF558" s="104" t="s">
        <v>66</v>
      </c>
      <c r="AG558" s="105">
        <f>ROUND(((X558*F554/3600)),4)</f>
        <v>4.6399999999999997E-2</v>
      </c>
      <c r="AH558" s="105">
        <f>AB558+AC558+AD558</f>
        <v>3.0999999999999999E-3</v>
      </c>
    </row>
    <row r="559" spans="1:36" ht="12.95" customHeight="1" x14ac:dyDescent="0.25">
      <c r="A559" s="581"/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  <c r="L559" s="102"/>
      <c r="M559" s="102"/>
      <c r="N559" s="101"/>
      <c r="O559" s="101"/>
      <c r="P559" s="101"/>
      <c r="Q559" s="105">
        <v>0.04</v>
      </c>
      <c r="R559" s="106">
        <v>0.04</v>
      </c>
      <c r="S559" s="105">
        <v>0.16</v>
      </c>
      <c r="T559" s="106">
        <v>0.3</v>
      </c>
      <c r="U559" s="106">
        <v>0.4</v>
      </c>
      <c r="V559" s="167">
        <f>ROUND((R559*N554+T559*L554+Q559*D554),4)</f>
        <v>0.20300000000000001</v>
      </c>
      <c r="W559" s="168">
        <f>ROUND((S559*0.9*O554+U559*0.9*L554+Q559*D554),4)</f>
        <v>0.90759999999999996</v>
      </c>
      <c r="X559" s="168">
        <f>ROUND((S559*P554+U559*L554+Q559*D554),4)</f>
        <v>3.2440000000000002</v>
      </c>
      <c r="Y559" s="168">
        <f>ROUND((T559*M554+Q559*E554),4)</f>
        <v>4.2999999999999997E-2</v>
      </c>
      <c r="Z559" s="168">
        <f>ROUND((U559*0.9*M554+Q559*E554),4)</f>
        <v>4.36E-2</v>
      </c>
      <c r="AA559" s="168">
        <f>ROUND((U559*M554+Q559*E554),4)</f>
        <v>4.3999999999999997E-2</v>
      </c>
      <c r="AB559" s="168">
        <f>ROUND((H554*(V559+Y559)*G554*I554/1000000),5)</f>
        <v>4.0000000000000003E-5</v>
      </c>
      <c r="AC559" s="168">
        <f>ROUND((H554*(W559+Z559)*G554*J554/1000000),5)</f>
        <v>0</v>
      </c>
      <c r="AD559" s="168">
        <f>ROUND((H554*(X559+AA559)*G554*K554/1000000),4)</f>
        <v>0</v>
      </c>
      <c r="AE559" s="103" t="s">
        <v>213</v>
      </c>
      <c r="AF559" s="104" t="s">
        <v>62</v>
      </c>
      <c r="AG559" s="105">
        <f>ROUND(((X559*F554/3600)),4)</f>
        <v>8.9999999999999998E-4</v>
      </c>
      <c r="AH559" s="105">
        <f>AB559+AC559+AD559</f>
        <v>4.0000000000000003E-5</v>
      </c>
      <c r="AI559" s="61">
        <f>SUM(AG554:AG559)</f>
        <v>6.4899999999999999E-2</v>
      </c>
      <c r="AJ559" s="61">
        <f>SUM(AH554:AH559)</f>
        <v>4.6499999999999996E-3</v>
      </c>
    </row>
    <row r="560" spans="1:36" ht="12.95" customHeight="1" x14ac:dyDescent="0.25">
      <c r="A560" s="1518" t="s">
        <v>712</v>
      </c>
      <c r="B560" s="1519"/>
      <c r="C560" s="1519"/>
      <c r="D560" s="1519"/>
      <c r="E560" s="1519"/>
      <c r="F560" s="1519"/>
      <c r="G560" s="1519"/>
      <c r="H560" s="1519"/>
      <c r="I560" s="1519"/>
      <c r="J560" s="1519"/>
      <c r="K560" s="1519"/>
      <c r="L560" s="1519"/>
      <c r="M560" s="1519"/>
      <c r="N560" s="1519"/>
      <c r="O560" s="1519"/>
      <c r="P560" s="1519"/>
      <c r="Q560" s="1519"/>
      <c r="R560" s="1519"/>
      <c r="S560" s="1519"/>
      <c r="T560" s="1520"/>
      <c r="U560" s="1520"/>
      <c r="V560" s="1519"/>
      <c r="W560" s="1519"/>
      <c r="X560" s="1519"/>
      <c r="Y560" s="1519"/>
      <c r="Z560" s="1519"/>
      <c r="AA560" s="1519"/>
      <c r="AB560" s="1519"/>
      <c r="AC560" s="1519"/>
      <c r="AD560" s="1519"/>
      <c r="AE560" s="1519"/>
      <c r="AF560" s="1519"/>
      <c r="AG560" s="1519"/>
      <c r="AH560" s="1521"/>
    </row>
    <row r="561" spans="1:36" ht="12.95" customHeight="1" x14ac:dyDescent="0.25">
      <c r="A561" s="574" t="s">
        <v>759</v>
      </c>
      <c r="B561" s="93" t="s">
        <v>211</v>
      </c>
      <c r="C561" s="1109" t="s">
        <v>444</v>
      </c>
      <c r="D561" s="97">
        <v>1</v>
      </c>
      <c r="E561" s="97">
        <v>1</v>
      </c>
      <c r="F561" s="97">
        <v>1</v>
      </c>
      <c r="G561" s="97">
        <v>1</v>
      </c>
      <c r="H561" s="97">
        <f>ROUND((F561/G561),2)</f>
        <v>1</v>
      </c>
      <c r="I561" s="97">
        <v>180</v>
      </c>
      <c r="J561" s="97">
        <v>90</v>
      </c>
      <c r="K561" s="98">
        <v>95</v>
      </c>
      <c r="L561" s="98">
        <v>0.01</v>
      </c>
      <c r="M561" s="98">
        <v>0.01</v>
      </c>
      <c r="N561" s="97">
        <v>4</v>
      </c>
      <c r="O561" s="97">
        <v>6</v>
      </c>
      <c r="P561" s="97">
        <v>20</v>
      </c>
      <c r="Q561" s="97">
        <v>1</v>
      </c>
      <c r="R561" s="96">
        <v>1</v>
      </c>
      <c r="S561" s="97">
        <v>2</v>
      </c>
      <c r="T561" s="96">
        <v>4</v>
      </c>
      <c r="U561" s="96">
        <v>4</v>
      </c>
      <c r="V561" s="108">
        <f>ROUND((R561*N561+T561*L561+Q561*D561),4)</f>
        <v>5.04</v>
      </c>
      <c r="W561" s="109">
        <f>ROUND((S561*O561+U561*L561+Q561*D561),4)</f>
        <v>13.04</v>
      </c>
      <c r="X561" s="109">
        <f>ROUND((S561*P561+U561*L561+Q561*D561),4)</f>
        <v>41.04</v>
      </c>
      <c r="Y561" s="109">
        <f>ROUND((T561*M561+Q561*E561),4)</f>
        <v>1.04</v>
      </c>
      <c r="Z561" s="109">
        <f>ROUND((U561*M561+Q561*E561),4)</f>
        <v>1.04</v>
      </c>
      <c r="AA561" s="109">
        <f>ROUND((U561*M561+Q561*E561),4)</f>
        <v>1.04</v>
      </c>
      <c r="AB561" s="109">
        <f>ROUND((H561*(V561+Y561)*G561*I561/1000000),4)</f>
        <v>1.1000000000000001E-3</v>
      </c>
      <c r="AC561" s="109">
        <f>ROUND((H561*(W561+Z561)*G561*J561/1000000),4)</f>
        <v>1.2999999999999999E-3</v>
      </c>
      <c r="AD561" s="109">
        <f>ROUND((H561*(X561+AA561)*G561*K561/1000000),4)</f>
        <v>4.0000000000000001E-3</v>
      </c>
      <c r="AE561" s="103" t="s">
        <v>48</v>
      </c>
      <c r="AF561" s="104" t="s">
        <v>49</v>
      </c>
      <c r="AG561" s="105">
        <f>ROUND(((X561*F561/3600)*0.8),4)</f>
        <v>9.1000000000000004E-3</v>
      </c>
      <c r="AH561" s="105">
        <f>ROUND(((AB561+AC561+AD561)*0.8),4)</f>
        <v>5.1000000000000004E-3</v>
      </c>
    </row>
    <row r="562" spans="1:36" ht="12.95" customHeight="1" x14ac:dyDescent="0.25">
      <c r="A562" s="575" t="s">
        <v>150</v>
      </c>
      <c r="B562" s="94" t="s">
        <v>212</v>
      </c>
      <c r="C562" s="1110"/>
      <c r="D562" s="94"/>
      <c r="E562" s="94"/>
      <c r="F562" s="94"/>
      <c r="G562" s="94"/>
      <c r="H562" s="94"/>
      <c r="I562" s="94"/>
      <c r="J562" s="94"/>
      <c r="K562" s="94"/>
      <c r="L562" s="99"/>
      <c r="M562" s="99"/>
      <c r="N562" s="94"/>
      <c r="O562" s="94"/>
      <c r="P562" s="94"/>
      <c r="Q562" s="101"/>
      <c r="R562" s="101"/>
      <c r="S562" s="102"/>
      <c r="T562" s="101"/>
      <c r="U562" s="101"/>
      <c r="V562" s="110"/>
      <c r="W562" s="111"/>
      <c r="X562" s="111"/>
      <c r="Y562" s="111"/>
      <c r="Z562" s="111"/>
      <c r="AA562" s="111"/>
      <c r="AB562" s="111"/>
      <c r="AC562" s="111"/>
      <c r="AD562" s="111"/>
      <c r="AE562" s="103" t="s">
        <v>51</v>
      </c>
      <c r="AF562" s="104" t="s">
        <v>52</v>
      </c>
      <c r="AG562" s="105">
        <f>ROUND(((X561*F561/3600)*0.13),4)</f>
        <v>1.5E-3</v>
      </c>
      <c r="AH562" s="105">
        <f>ROUND(((AB561+AC561+AD561)*0.13),4)</f>
        <v>8.0000000000000004E-4</v>
      </c>
    </row>
    <row r="563" spans="1:36" ht="12.95" customHeight="1" x14ac:dyDescent="0.25">
      <c r="A563" s="576"/>
      <c r="B563" s="95" t="s">
        <v>491</v>
      </c>
      <c r="C563" s="95"/>
      <c r="D563" s="94"/>
      <c r="E563" s="94"/>
      <c r="F563" s="94"/>
      <c r="G563" s="94"/>
      <c r="H563" s="94"/>
      <c r="I563" s="94"/>
      <c r="J563" s="94"/>
      <c r="K563" s="94"/>
      <c r="L563" s="99"/>
      <c r="M563" s="99"/>
      <c r="N563" s="94"/>
      <c r="O563" s="94"/>
      <c r="P563" s="94"/>
      <c r="Q563" s="105">
        <v>0.1</v>
      </c>
      <c r="R563" s="106">
        <v>0.113</v>
      </c>
      <c r="S563" s="107">
        <v>0.13600000000000001</v>
      </c>
      <c r="T563" s="106">
        <v>0.54</v>
      </c>
      <c r="U563" s="106">
        <v>0.67</v>
      </c>
      <c r="V563" s="108">
        <f>ROUND((R563*N561+T563*L561+Q563*D561),4)</f>
        <v>0.55740000000000001</v>
      </c>
      <c r="W563" s="109">
        <f>ROUND((S563*0.9*O561+U563*0.9*L561+Q563*D561),4)</f>
        <v>0.84040000000000004</v>
      </c>
      <c r="X563" s="109">
        <f>ROUND((S563*P561+U563*L561+Q563*D561),4)</f>
        <v>2.8267000000000002</v>
      </c>
      <c r="Y563" s="109">
        <f>ROUND((T563*M561+Q563*E561),4)</f>
        <v>0.10539999999999999</v>
      </c>
      <c r="Z563" s="109">
        <f>ROUND((U563*0.9*M561+Q563*E561),4)</f>
        <v>0.106</v>
      </c>
      <c r="AA563" s="109">
        <f>ROUND((U563*M561+Q563*E561),4)</f>
        <v>0.1067</v>
      </c>
      <c r="AB563" s="109">
        <f>ROUND((H561*(V563+Y563)*G561*I561/1000000),5)</f>
        <v>1.2E-4</v>
      </c>
      <c r="AC563" s="109">
        <f>ROUND((H561*(W563+Z563)*G561*J561/1000000),5)</f>
        <v>9.0000000000000006E-5</v>
      </c>
      <c r="AD563" s="109">
        <f>ROUND((H561*(X563+AA563)*G561*K561/1000000),5)</f>
        <v>2.7999999999999998E-4</v>
      </c>
      <c r="AE563" s="103" t="s">
        <v>56</v>
      </c>
      <c r="AF563" s="104" t="s">
        <v>57</v>
      </c>
      <c r="AG563" s="105">
        <f>ROUND(((X563*F561/3600)),4)</f>
        <v>8.0000000000000004E-4</v>
      </c>
      <c r="AH563" s="105">
        <f>AB563+AC563+AD563</f>
        <v>4.8999999999999998E-4</v>
      </c>
    </row>
    <row r="564" spans="1:36" ht="12.95" customHeight="1" x14ac:dyDescent="0.25">
      <c r="A564" s="576"/>
      <c r="B564" s="166"/>
      <c r="C564" s="94"/>
      <c r="D564" s="94"/>
      <c r="E564" s="94"/>
      <c r="F564" s="94"/>
      <c r="G564" s="94"/>
      <c r="H564" s="94"/>
      <c r="I564" s="94"/>
      <c r="J564" s="94"/>
      <c r="K564" s="94"/>
      <c r="L564" s="99"/>
      <c r="M564" s="99"/>
      <c r="N564" s="94"/>
      <c r="O564" s="94"/>
      <c r="P564" s="94"/>
      <c r="Q564" s="105">
        <v>0.45</v>
      </c>
      <c r="R564" s="106">
        <v>0.4</v>
      </c>
      <c r="S564" s="105">
        <v>1.1000000000000001</v>
      </c>
      <c r="T564" s="106">
        <v>1</v>
      </c>
      <c r="U564" s="106">
        <v>1.2</v>
      </c>
      <c r="V564" s="108">
        <f>ROUND((R564*N561+T564*L561+Q564*D561),4)</f>
        <v>2.06</v>
      </c>
      <c r="W564" s="109">
        <f>ROUND((S564*0.9*O561+U564*0.9*L561+Q564*D561),4)</f>
        <v>6.4008000000000003</v>
      </c>
      <c r="X564" s="109">
        <f>ROUND((S564*P561+U564*L561+Q564*D561),4)</f>
        <v>22.462</v>
      </c>
      <c r="Y564" s="109">
        <f>ROUND((T564*M561+Q564*E561),4)</f>
        <v>0.46</v>
      </c>
      <c r="Z564" s="109">
        <f>ROUND((U564*0.9*M561+Q564*E561),4)</f>
        <v>0.46079999999999999</v>
      </c>
      <c r="AA564" s="109">
        <f>ROUND((U564*M561+Q564*E561),4)</f>
        <v>0.46200000000000002</v>
      </c>
      <c r="AB564" s="109">
        <f>ROUND((H561*(V564+Y564)*G561*I561/1000000),4)</f>
        <v>5.0000000000000001E-4</v>
      </c>
      <c r="AC564" s="109">
        <f>ROUND((H561*(W564+Z564)*G561*J561/1000000),4)</f>
        <v>5.9999999999999995E-4</v>
      </c>
      <c r="AD564" s="109">
        <f>ROUND((H561*(X564+AA564)*G561*K561/1000000),4)</f>
        <v>2.2000000000000001E-3</v>
      </c>
      <c r="AE564" s="103" t="s">
        <v>177</v>
      </c>
      <c r="AF564" s="104" t="s">
        <v>178</v>
      </c>
      <c r="AG564" s="105">
        <f>ROUND(((X564*F561/3600)),4)</f>
        <v>6.1999999999999998E-3</v>
      </c>
      <c r="AH564" s="105">
        <f>AB564+AC564+AD564</f>
        <v>3.3E-3</v>
      </c>
    </row>
    <row r="565" spans="1:36" ht="12.95" customHeight="1" x14ac:dyDescent="0.25">
      <c r="A565" s="577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9"/>
      <c r="M565" s="99"/>
      <c r="N565" s="94"/>
      <c r="O565" s="94"/>
      <c r="P565" s="94"/>
      <c r="Q565" s="105">
        <v>2.9</v>
      </c>
      <c r="R565" s="106">
        <v>3</v>
      </c>
      <c r="S565" s="105">
        <v>8.1999999999999993</v>
      </c>
      <c r="T565" s="106">
        <v>6.1</v>
      </c>
      <c r="U565" s="106">
        <v>7.4</v>
      </c>
      <c r="V565" s="167">
        <f>ROUND((R565*N561+T565*L561+Q565*D561),4)</f>
        <v>14.961</v>
      </c>
      <c r="W565" s="168">
        <f>ROUND((S565*0.9*O561+U565*0.9*L561+Q565*D561),4)</f>
        <v>47.246600000000001</v>
      </c>
      <c r="X565" s="168">
        <f>ROUND((S565*P561+U565*L561+Q565*D561),4)</f>
        <v>166.97399999999999</v>
      </c>
      <c r="Y565" s="168">
        <f>ROUND((T565*M561+Q565*E561),4)</f>
        <v>2.9609999999999999</v>
      </c>
      <c r="Z565" s="168">
        <f>ROUND((U565*0.9*M561+Q565*E561),4)</f>
        <v>2.9666000000000001</v>
      </c>
      <c r="AA565" s="168">
        <f>ROUND((U565*M561+Q565*E561),4)</f>
        <v>2.9740000000000002</v>
      </c>
      <c r="AB565" s="168">
        <f>ROUND((H561*(V565+Y565)*G561*I561/1000000),4)</f>
        <v>3.2000000000000002E-3</v>
      </c>
      <c r="AC565" s="168">
        <f>ROUND((H561*(W565+Z565)*G561*J561/1000000),4)</f>
        <v>4.4999999999999997E-3</v>
      </c>
      <c r="AD565" s="168">
        <f>ROUND((H561*(X565+AA565)*G561*K561/1000000),4)</f>
        <v>1.61E-2</v>
      </c>
      <c r="AE565" s="103" t="s">
        <v>65</v>
      </c>
      <c r="AF565" s="104" t="s">
        <v>66</v>
      </c>
      <c r="AG565" s="105">
        <f>ROUND(((X565*F561/3600)),4)</f>
        <v>4.6399999999999997E-2</v>
      </c>
      <c r="AH565" s="105">
        <f>AB565+AC565+AD565</f>
        <v>2.3800000000000002E-2</v>
      </c>
    </row>
    <row r="566" spans="1:36" ht="12.95" customHeight="1" x14ac:dyDescent="0.25">
      <c r="A566" s="581"/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  <c r="L566" s="102"/>
      <c r="M566" s="102"/>
      <c r="N566" s="101"/>
      <c r="O566" s="101"/>
      <c r="P566" s="101"/>
      <c r="Q566" s="105">
        <v>0.04</v>
      </c>
      <c r="R566" s="106">
        <v>0.04</v>
      </c>
      <c r="S566" s="105">
        <v>0.16</v>
      </c>
      <c r="T566" s="106">
        <v>0.3</v>
      </c>
      <c r="U566" s="106">
        <v>0.4</v>
      </c>
      <c r="V566" s="167">
        <f>ROUND((R566*N561+T566*L561+Q566*D561),4)</f>
        <v>0.20300000000000001</v>
      </c>
      <c r="W566" s="168">
        <f>ROUND((S566*0.9*O561+U566*0.9*L561+Q566*D561),4)</f>
        <v>0.90759999999999996</v>
      </c>
      <c r="X566" s="168">
        <f>ROUND((S566*P561+U566*L561+Q566*D561),4)</f>
        <v>3.2440000000000002</v>
      </c>
      <c r="Y566" s="168">
        <f>ROUND((T566*M561+Q566*E561),4)</f>
        <v>4.2999999999999997E-2</v>
      </c>
      <c r="Z566" s="168">
        <f>ROUND((U566*0.9*M561+Q566*E561),4)</f>
        <v>4.36E-2</v>
      </c>
      <c r="AA566" s="168">
        <f>ROUND((U566*M561+Q566*E561),4)</f>
        <v>4.3999999999999997E-2</v>
      </c>
      <c r="AB566" s="168">
        <f>ROUND((H561*(V566+Y566)*G561*I561/1000000),5)</f>
        <v>4.0000000000000003E-5</v>
      </c>
      <c r="AC566" s="168">
        <f>ROUND((H561*(W566+Z566)*G561*J561/1000000),5)</f>
        <v>9.0000000000000006E-5</v>
      </c>
      <c r="AD566" s="168">
        <f>ROUND((H561*(X566+AA566)*G561*K561/1000000),4)</f>
        <v>2.9999999999999997E-4</v>
      </c>
      <c r="AE566" s="103" t="s">
        <v>213</v>
      </c>
      <c r="AF566" s="104" t="s">
        <v>62</v>
      </c>
      <c r="AG566" s="105">
        <f>ROUND(((X566*F561/3600)),4)</f>
        <v>8.9999999999999998E-4</v>
      </c>
      <c r="AH566" s="105">
        <f>AB566+AC566+AD566</f>
        <v>4.2999999999999999E-4</v>
      </c>
      <c r="AI566" s="61">
        <f>SUM(AG561:AG566)</f>
        <v>6.4899999999999999E-2</v>
      </c>
      <c r="AJ566" s="61">
        <f>SUM(AH561:AH566)</f>
        <v>3.3920000000000006E-2</v>
      </c>
    </row>
    <row r="567" spans="1:36" ht="12.95" customHeight="1" x14ac:dyDescent="0.25">
      <c r="A567" s="1518" t="s">
        <v>713</v>
      </c>
      <c r="B567" s="1519"/>
      <c r="C567" s="1519"/>
      <c r="D567" s="1519"/>
      <c r="E567" s="1519"/>
      <c r="F567" s="1519"/>
      <c r="G567" s="1519"/>
      <c r="H567" s="1519"/>
      <c r="I567" s="1519"/>
      <c r="J567" s="1519"/>
      <c r="K567" s="1519"/>
      <c r="L567" s="1519"/>
      <c r="M567" s="1519"/>
      <c r="N567" s="1519"/>
      <c r="O567" s="1519"/>
      <c r="P567" s="1519"/>
      <c r="Q567" s="1519"/>
      <c r="R567" s="1519"/>
      <c r="S567" s="1519"/>
      <c r="T567" s="1520"/>
      <c r="U567" s="1520"/>
      <c r="V567" s="1519"/>
      <c r="W567" s="1519"/>
      <c r="X567" s="1519"/>
      <c r="Y567" s="1519"/>
      <c r="Z567" s="1519"/>
      <c r="AA567" s="1519"/>
      <c r="AB567" s="1519"/>
      <c r="AC567" s="1519"/>
      <c r="AD567" s="1519"/>
      <c r="AE567" s="1519"/>
      <c r="AF567" s="1519"/>
      <c r="AG567" s="1519"/>
      <c r="AH567" s="1521"/>
    </row>
    <row r="568" spans="1:36" ht="12.95" customHeight="1" x14ac:dyDescent="0.25">
      <c r="A568" s="574" t="s">
        <v>760</v>
      </c>
      <c r="B568" s="93" t="s">
        <v>211</v>
      </c>
      <c r="C568" s="1109" t="s">
        <v>444</v>
      </c>
      <c r="D568" s="97">
        <v>1</v>
      </c>
      <c r="E568" s="97">
        <v>1</v>
      </c>
      <c r="F568" s="97">
        <v>1</v>
      </c>
      <c r="G568" s="97">
        <v>1</v>
      </c>
      <c r="H568" s="97">
        <f>ROUND((F568/G568),2)</f>
        <v>1</v>
      </c>
      <c r="I568" s="97">
        <v>180</v>
      </c>
      <c r="J568" s="97">
        <v>90</v>
      </c>
      <c r="K568" s="98">
        <v>95</v>
      </c>
      <c r="L568" s="98">
        <v>0.01</v>
      </c>
      <c r="M568" s="98">
        <v>0.01</v>
      </c>
      <c r="N568" s="97">
        <v>4</v>
      </c>
      <c r="O568" s="97">
        <v>6</v>
      </c>
      <c r="P568" s="97">
        <v>20</v>
      </c>
      <c r="Q568" s="97">
        <v>1</v>
      </c>
      <c r="R568" s="96">
        <v>1</v>
      </c>
      <c r="S568" s="97">
        <v>2</v>
      </c>
      <c r="T568" s="96">
        <v>4</v>
      </c>
      <c r="U568" s="96">
        <v>4</v>
      </c>
      <c r="V568" s="108">
        <f>ROUND((R568*N568+T568*L568+Q568*D568),4)</f>
        <v>5.04</v>
      </c>
      <c r="W568" s="109">
        <f>ROUND((S568*O568+U568*L568+Q568*D568),4)</f>
        <v>13.04</v>
      </c>
      <c r="X568" s="109">
        <f>ROUND((S568*P568+U568*L568+Q568*D568),4)</f>
        <v>41.04</v>
      </c>
      <c r="Y568" s="109">
        <f>ROUND((T568*M568+Q568*E568),4)</f>
        <v>1.04</v>
      </c>
      <c r="Z568" s="109">
        <f>ROUND((U568*M568+Q568*E568),4)</f>
        <v>1.04</v>
      </c>
      <c r="AA568" s="109">
        <f>ROUND((U568*M568+Q568*E568),4)</f>
        <v>1.04</v>
      </c>
      <c r="AB568" s="109">
        <f>ROUND((H568*(V568+Y568)*G568*I568/1000000),4)</f>
        <v>1.1000000000000001E-3</v>
      </c>
      <c r="AC568" s="109">
        <f>ROUND((H568*(W568+Z568)*G568*J568/1000000),4)</f>
        <v>1.2999999999999999E-3</v>
      </c>
      <c r="AD568" s="109">
        <f>ROUND((H568*(X568+AA568)*G568*K568/1000000),4)</f>
        <v>4.0000000000000001E-3</v>
      </c>
      <c r="AE568" s="103" t="s">
        <v>48</v>
      </c>
      <c r="AF568" s="104" t="s">
        <v>49</v>
      </c>
      <c r="AG568" s="105">
        <f>ROUND(((X568*F568/3600)*0.8),4)</f>
        <v>9.1000000000000004E-3</v>
      </c>
      <c r="AH568" s="105">
        <f>ROUND(((AB568+AC568+AD568)*0.8),4)</f>
        <v>5.1000000000000004E-3</v>
      </c>
    </row>
    <row r="569" spans="1:36" ht="12.95" customHeight="1" x14ac:dyDescent="0.25">
      <c r="A569" s="575" t="s">
        <v>150</v>
      </c>
      <c r="B569" s="94" t="s">
        <v>212</v>
      </c>
      <c r="C569" s="1110"/>
      <c r="D569" s="94"/>
      <c r="E569" s="94"/>
      <c r="F569" s="94"/>
      <c r="G569" s="94"/>
      <c r="H569" s="94"/>
      <c r="I569" s="94"/>
      <c r="J569" s="94"/>
      <c r="K569" s="94"/>
      <c r="L569" s="99"/>
      <c r="M569" s="99"/>
      <c r="N569" s="94"/>
      <c r="O569" s="94"/>
      <c r="P569" s="94"/>
      <c r="Q569" s="101"/>
      <c r="R569" s="101"/>
      <c r="S569" s="102"/>
      <c r="T569" s="101"/>
      <c r="U569" s="101"/>
      <c r="V569" s="110"/>
      <c r="W569" s="111"/>
      <c r="X569" s="111"/>
      <c r="Y569" s="111"/>
      <c r="Z569" s="111"/>
      <c r="AA569" s="111"/>
      <c r="AB569" s="111"/>
      <c r="AC569" s="111"/>
      <c r="AD569" s="111"/>
      <c r="AE569" s="103" t="s">
        <v>51</v>
      </c>
      <c r="AF569" s="104" t="s">
        <v>52</v>
      </c>
      <c r="AG569" s="105">
        <f>ROUND(((X568*F568/3600)*0.13),4)</f>
        <v>1.5E-3</v>
      </c>
      <c r="AH569" s="105">
        <f>ROUND(((AB568+AC568+AD568)*0.13),4)</f>
        <v>8.0000000000000004E-4</v>
      </c>
    </row>
    <row r="570" spans="1:36" ht="12.95" customHeight="1" x14ac:dyDescent="0.25">
      <c r="A570" s="576"/>
      <c r="B570" s="95" t="s">
        <v>491</v>
      </c>
      <c r="C570" s="95"/>
      <c r="D570" s="94"/>
      <c r="E570" s="94"/>
      <c r="F570" s="94"/>
      <c r="G570" s="94"/>
      <c r="H570" s="94"/>
      <c r="I570" s="94"/>
      <c r="J570" s="94"/>
      <c r="K570" s="94"/>
      <c r="L570" s="99"/>
      <c r="M570" s="99"/>
      <c r="N570" s="94"/>
      <c r="O570" s="94"/>
      <c r="P570" s="94"/>
      <c r="Q570" s="105">
        <v>0.1</v>
      </c>
      <c r="R570" s="106">
        <v>0.113</v>
      </c>
      <c r="S570" s="107">
        <v>0.13600000000000001</v>
      </c>
      <c r="T570" s="106">
        <v>0.54</v>
      </c>
      <c r="U570" s="106">
        <v>0.67</v>
      </c>
      <c r="V570" s="108">
        <f>ROUND((R570*N568+T570*L568+Q570*D568),4)</f>
        <v>0.55740000000000001</v>
      </c>
      <c r="W570" s="109">
        <f>ROUND((S570*0.9*O568+U570*0.9*L568+Q570*D568),4)</f>
        <v>0.84040000000000004</v>
      </c>
      <c r="X570" s="109">
        <f>ROUND((S570*P568+U570*L568+Q570*D568),4)</f>
        <v>2.8267000000000002</v>
      </c>
      <c r="Y570" s="109">
        <f>ROUND((T570*M568+Q570*E568),4)</f>
        <v>0.10539999999999999</v>
      </c>
      <c r="Z570" s="109">
        <f>ROUND((U570*0.9*M568+Q570*E568),4)</f>
        <v>0.106</v>
      </c>
      <c r="AA570" s="109">
        <f>ROUND((U570*M568+Q570*E568),4)</f>
        <v>0.1067</v>
      </c>
      <c r="AB570" s="109">
        <f>ROUND((H568*(V570+Y570)*G568*I568/1000000),5)</f>
        <v>1.2E-4</v>
      </c>
      <c r="AC570" s="109">
        <f>ROUND((H568*(W570+Z570)*G568*J568/1000000),5)</f>
        <v>9.0000000000000006E-5</v>
      </c>
      <c r="AD570" s="109">
        <f>ROUND((H568*(X570+AA570)*G568*K568/1000000),5)</f>
        <v>2.7999999999999998E-4</v>
      </c>
      <c r="AE570" s="103" t="s">
        <v>56</v>
      </c>
      <c r="AF570" s="104" t="s">
        <v>57</v>
      </c>
      <c r="AG570" s="105">
        <f>ROUND(((X570*F568/3600)),4)</f>
        <v>8.0000000000000004E-4</v>
      </c>
      <c r="AH570" s="105">
        <f>AB570+AC570+AD570</f>
        <v>4.8999999999999998E-4</v>
      </c>
    </row>
    <row r="571" spans="1:36" ht="12.95" customHeight="1" x14ac:dyDescent="0.25">
      <c r="A571" s="576"/>
      <c r="B571" s="166"/>
      <c r="C571" s="94"/>
      <c r="D571" s="94"/>
      <c r="E571" s="94"/>
      <c r="F571" s="94"/>
      <c r="G571" s="94"/>
      <c r="H571" s="94"/>
      <c r="I571" s="94"/>
      <c r="J571" s="94"/>
      <c r="K571" s="94"/>
      <c r="L571" s="99"/>
      <c r="M571" s="99"/>
      <c r="N571" s="94"/>
      <c r="O571" s="94"/>
      <c r="P571" s="94"/>
      <c r="Q571" s="105">
        <v>0.45</v>
      </c>
      <c r="R571" s="106">
        <v>0.4</v>
      </c>
      <c r="S571" s="105">
        <v>1.1000000000000001</v>
      </c>
      <c r="T571" s="106">
        <v>1</v>
      </c>
      <c r="U571" s="106">
        <v>1.2</v>
      </c>
      <c r="V571" s="108">
        <f>ROUND((R571*N568+T571*L568+Q571*D568),4)</f>
        <v>2.06</v>
      </c>
      <c r="W571" s="109">
        <f>ROUND((S571*0.9*O568+U571*0.9*L568+Q571*D568),4)</f>
        <v>6.4008000000000003</v>
      </c>
      <c r="X571" s="109">
        <f>ROUND((S571*P568+U571*L568+Q571*D568),4)</f>
        <v>22.462</v>
      </c>
      <c r="Y571" s="109">
        <f>ROUND((T571*M568+Q571*E568),4)</f>
        <v>0.46</v>
      </c>
      <c r="Z571" s="109">
        <f>ROUND((U571*0.9*M568+Q571*E568),4)</f>
        <v>0.46079999999999999</v>
      </c>
      <c r="AA571" s="109">
        <f>ROUND((U571*M568+Q571*E568),4)</f>
        <v>0.46200000000000002</v>
      </c>
      <c r="AB571" s="109">
        <f>ROUND((H568*(V571+Y571)*G568*I568/1000000),4)</f>
        <v>5.0000000000000001E-4</v>
      </c>
      <c r="AC571" s="109">
        <f>ROUND((H568*(W571+Z571)*G568*J568/1000000),4)</f>
        <v>5.9999999999999995E-4</v>
      </c>
      <c r="AD571" s="109">
        <f>ROUND((H568*(X571+AA571)*G568*K568/1000000),4)</f>
        <v>2.2000000000000001E-3</v>
      </c>
      <c r="AE571" s="103" t="s">
        <v>177</v>
      </c>
      <c r="AF571" s="104" t="s">
        <v>178</v>
      </c>
      <c r="AG571" s="105">
        <f>ROUND(((X571*F568/3600)),4)</f>
        <v>6.1999999999999998E-3</v>
      </c>
      <c r="AH571" s="105">
        <f>AB571+AC571+AD571</f>
        <v>3.3E-3</v>
      </c>
    </row>
    <row r="572" spans="1:36" ht="12.95" customHeight="1" x14ac:dyDescent="0.25">
      <c r="A572" s="577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9"/>
      <c r="M572" s="99"/>
      <c r="N572" s="94"/>
      <c r="O572" s="94"/>
      <c r="P572" s="94"/>
      <c r="Q572" s="105">
        <v>2.9</v>
      </c>
      <c r="R572" s="106">
        <v>3</v>
      </c>
      <c r="S572" s="105">
        <v>8.1999999999999993</v>
      </c>
      <c r="T572" s="106">
        <v>6.1</v>
      </c>
      <c r="U572" s="106">
        <v>7.4</v>
      </c>
      <c r="V572" s="167">
        <f>ROUND((R572*N568+T572*L568+Q572*D568),4)</f>
        <v>14.961</v>
      </c>
      <c r="W572" s="168">
        <f>ROUND((S572*0.9*O568+U572*0.9*L568+Q572*D568),4)</f>
        <v>47.246600000000001</v>
      </c>
      <c r="X572" s="168">
        <f>ROUND((S572*P568+U572*L568+Q572*D568),4)</f>
        <v>166.97399999999999</v>
      </c>
      <c r="Y572" s="168">
        <f>ROUND((T572*M568+Q572*E568),4)</f>
        <v>2.9609999999999999</v>
      </c>
      <c r="Z572" s="168">
        <f>ROUND((U572*0.9*M568+Q572*E568),4)</f>
        <v>2.9666000000000001</v>
      </c>
      <c r="AA572" s="168">
        <f>ROUND((U572*M568+Q572*E568),4)</f>
        <v>2.9740000000000002</v>
      </c>
      <c r="AB572" s="168">
        <f>ROUND((H568*(V572+Y572)*G568*I568/1000000),4)</f>
        <v>3.2000000000000002E-3</v>
      </c>
      <c r="AC572" s="168">
        <f>ROUND((H568*(W572+Z572)*G568*J568/1000000),4)</f>
        <v>4.4999999999999997E-3</v>
      </c>
      <c r="AD572" s="168">
        <f>ROUND((H568*(X572+AA572)*G568*K568/1000000),4)</f>
        <v>1.61E-2</v>
      </c>
      <c r="AE572" s="103" t="s">
        <v>65</v>
      </c>
      <c r="AF572" s="104" t="s">
        <v>66</v>
      </c>
      <c r="AG572" s="105">
        <f>ROUND(((X572*F568/3600)),4)</f>
        <v>4.6399999999999997E-2</v>
      </c>
      <c r="AH572" s="105">
        <f>AB572+AC572+AD572</f>
        <v>2.3800000000000002E-2</v>
      </c>
    </row>
    <row r="573" spans="1:36" ht="12.95" customHeight="1" x14ac:dyDescent="0.25">
      <c r="A573" s="581"/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  <c r="L573" s="102"/>
      <c r="M573" s="102"/>
      <c r="N573" s="101"/>
      <c r="O573" s="101"/>
      <c r="P573" s="101"/>
      <c r="Q573" s="105">
        <v>0.04</v>
      </c>
      <c r="R573" s="106">
        <v>0.04</v>
      </c>
      <c r="S573" s="105">
        <v>0.16</v>
      </c>
      <c r="T573" s="106">
        <v>0.3</v>
      </c>
      <c r="U573" s="106">
        <v>0.4</v>
      </c>
      <c r="V573" s="167">
        <f>ROUND((R573*N568+T573*L568+Q573*D568),4)</f>
        <v>0.20300000000000001</v>
      </c>
      <c r="W573" s="168">
        <f>ROUND((S573*0.9*O568+U573*0.9*L568+Q573*D568),4)</f>
        <v>0.90759999999999996</v>
      </c>
      <c r="X573" s="168">
        <f>ROUND((S573*P568+U573*L568+Q573*D568),4)</f>
        <v>3.2440000000000002</v>
      </c>
      <c r="Y573" s="168">
        <f>ROUND((T573*M568+Q573*E568),4)</f>
        <v>4.2999999999999997E-2</v>
      </c>
      <c r="Z573" s="168">
        <f>ROUND((U573*0.9*M568+Q573*E568),4)</f>
        <v>4.36E-2</v>
      </c>
      <c r="AA573" s="168">
        <f>ROUND((U573*M568+Q573*E568),4)</f>
        <v>4.3999999999999997E-2</v>
      </c>
      <c r="AB573" s="168">
        <f>ROUND((H568*(V573+Y573)*G568*I568/1000000),5)</f>
        <v>4.0000000000000003E-5</v>
      </c>
      <c r="AC573" s="168">
        <f>ROUND((H568*(W573+Z573)*G568*J568/1000000),5)</f>
        <v>9.0000000000000006E-5</v>
      </c>
      <c r="AD573" s="168">
        <f>ROUND((H568*(X573+AA573)*G568*K568/1000000),4)</f>
        <v>2.9999999999999997E-4</v>
      </c>
      <c r="AE573" s="103" t="s">
        <v>213</v>
      </c>
      <c r="AF573" s="104" t="s">
        <v>62</v>
      </c>
      <c r="AG573" s="105">
        <f>ROUND(((X573*F568/3600)),4)</f>
        <v>8.9999999999999998E-4</v>
      </c>
      <c r="AH573" s="105">
        <f>AB573+AC573+AD573</f>
        <v>4.2999999999999999E-4</v>
      </c>
      <c r="AI573" s="61">
        <f>SUM(AG568:AG573)</f>
        <v>6.4899999999999999E-2</v>
      </c>
      <c r="AJ573" s="61">
        <f>SUM(AH568:AH573)</f>
        <v>3.3920000000000006E-2</v>
      </c>
    </row>
    <row r="574" spans="1:36" ht="12.95" customHeight="1" x14ac:dyDescent="0.25">
      <c r="A574" s="1518" t="s">
        <v>714</v>
      </c>
      <c r="B574" s="1519"/>
      <c r="C574" s="1519"/>
      <c r="D574" s="1519"/>
      <c r="E574" s="1519"/>
      <c r="F574" s="1519"/>
      <c r="G574" s="1519"/>
      <c r="H574" s="1519"/>
      <c r="I574" s="1519"/>
      <c r="J574" s="1519"/>
      <c r="K574" s="1519"/>
      <c r="L574" s="1519"/>
      <c r="M574" s="1519"/>
      <c r="N574" s="1519"/>
      <c r="O574" s="1519"/>
      <c r="P574" s="1519"/>
      <c r="Q574" s="1519"/>
      <c r="R574" s="1519"/>
      <c r="S574" s="1519"/>
      <c r="T574" s="1520"/>
      <c r="U574" s="1520"/>
      <c r="V574" s="1519"/>
      <c r="W574" s="1519"/>
      <c r="X574" s="1519"/>
      <c r="Y574" s="1519"/>
      <c r="Z574" s="1519"/>
      <c r="AA574" s="1519"/>
      <c r="AB574" s="1519"/>
      <c r="AC574" s="1519"/>
      <c r="AD574" s="1519"/>
      <c r="AE574" s="1519"/>
      <c r="AF574" s="1519"/>
      <c r="AG574" s="1519"/>
      <c r="AH574" s="1521"/>
    </row>
    <row r="575" spans="1:36" ht="12.95" customHeight="1" x14ac:dyDescent="0.25">
      <c r="A575" s="574" t="s">
        <v>1019</v>
      </c>
      <c r="B575" s="93" t="s">
        <v>211</v>
      </c>
      <c r="C575" s="1109" t="s">
        <v>444</v>
      </c>
      <c r="D575" s="97">
        <v>1</v>
      </c>
      <c r="E575" s="97">
        <v>1</v>
      </c>
      <c r="F575" s="97">
        <v>1</v>
      </c>
      <c r="G575" s="97">
        <v>1</v>
      </c>
      <c r="H575" s="97">
        <f>ROUND((F575/G575),2)</f>
        <v>1</v>
      </c>
      <c r="I575" s="97">
        <v>173</v>
      </c>
      <c r="J575" s="97">
        <v>0</v>
      </c>
      <c r="K575" s="98">
        <v>0</v>
      </c>
      <c r="L575" s="98">
        <v>0.01</v>
      </c>
      <c r="M575" s="98">
        <v>0.01</v>
      </c>
      <c r="N575" s="97">
        <v>4</v>
      </c>
      <c r="O575" s="97">
        <v>6</v>
      </c>
      <c r="P575" s="97">
        <v>20</v>
      </c>
      <c r="Q575" s="97">
        <v>1</v>
      </c>
      <c r="R575" s="96">
        <v>1</v>
      </c>
      <c r="S575" s="97">
        <v>2</v>
      </c>
      <c r="T575" s="96">
        <v>4</v>
      </c>
      <c r="U575" s="96">
        <v>4</v>
      </c>
      <c r="V575" s="108">
        <f>ROUND((R575*N575+T575*L575+Q575*D575),4)</f>
        <v>5.04</v>
      </c>
      <c r="W575" s="109">
        <f>ROUND((S575*O575+U575*L575+Q575*D575),4)</f>
        <v>13.04</v>
      </c>
      <c r="X575" s="109">
        <f>ROUND((S575*P575+U575*L575+Q575*D575),4)</f>
        <v>41.04</v>
      </c>
      <c r="Y575" s="109">
        <f>ROUND((T575*M575+Q575*E575),4)</f>
        <v>1.04</v>
      </c>
      <c r="Z575" s="109">
        <f>ROUND((U575*M575+Q575*E575),4)</f>
        <v>1.04</v>
      </c>
      <c r="AA575" s="109">
        <f>ROUND((U575*M575+Q575*E575),4)</f>
        <v>1.04</v>
      </c>
      <c r="AB575" s="109">
        <f>ROUND((H575*(V575+Y575)*G575*I575/1000000),4)</f>
        <v>1.1000000000000001E-3</v>
      </c>
      <c r="AC575" s="109">
        <f>ROUND((H575*(W575+Z575)*G575*J575/1000000),4)</f>
        <v>0</v>
      </c>
      <c r="AD575" s="109">
        <f>ROUND((H575*(X575+AA575)*G575*K575/1000000),4)</f>
        <v>0</v>
      </c>
      <c r="AE575" s="103" t="s">
        <v>48</v>
      </c>
      <c r="AF575" s="104" t="s">
        <v>49</v>
      </c>
      <c r="AG575" s="105">
        <f>ROUND(((X575*F575/3600)*0.8),4)</f>
        <v>9.1000000000000004E-3</v>
      </c>
      <c r="AH575" s="105">
        <f>ROUND(((AB575+AC575+AD575)*0.8),4)</f>
        <v>8.9999999999999998E-4</v>
      </c>
    </row>
    <row r="576" spans="1:36" ht="12.95" customHeight="1" x14ac:dyDescent="0.25">
      <c r="A576" s="575" t="s">
        <v>150</v>
      </c>
      <c r="B576" s="94" t="s">
        <v>212</v>
      </c>
      <c r="C576" s="1110"/>
      <c r="D576" s="94"/>
      <c r="E576" s="94"/>
      <c r="F576" s="94"/>
      <c r="G576" s="94"/>
      <c r="H576" s="94"/>
      <c r="I576" s="94"/>
      <c r="J576" s="94"/>
      <c r="K576" s="94"/>
      <c r="L576" s="99"/>
      <c r="M576" s="99"/>
      <c r="N576" s="94"/>
      <c r="O576" s="94"/>
      <c r="P576" s="94"/>
      <c r="Q576" s="101"/>
      <c r="R576" s="101"/>
      <c r="S576" s="102"/>
      <c r="T576" s="101"/>
      <c r="U576" s="101"/>
      <c r="V576" s="110"/>
      <c r="W576" s="111"/>
      <c r="X576" s="111"/>
      <c r="Y576" s="111"/>
      <c r="Z576" s="111"/>
      <c r="AA576" s="111"/>
      <c r="AB576" s="111"/>
      <c r="AC576" s="111"/>
      <c r="AD576" s="111"/>
      <c r="AE576" s="103" t="s">
        <v>51</v>
      </c>
      <c r="AF576" s="104" t="s">
        <v>52</v>
      </c>
      <c r="AG576" s="105">
        <f>ROUND(((X575*F575/3600)*0.13),4)</f>
        <v>1.5E-3</v>
      </c>
      <c r="AH576" s="105">
        <f>ROUND(((AB575+AC575+AD575)*0.13),4)</f>
        <v>1E-4</v>
      </c>
    </row>
    <row r="577" spans="1:36" ht="12.95" customHeight="1" x14ac:dyDescent="0.25">
      <c r="A577" s="576"/>
      <c r="B577" s="95" t="s">
        <v>491</v>
      </c>
      <c r="C577" s="95"/>
      <c r="D577" s="94"/>
      <c r="E577" s="94"/>
      <c r="F577" s="94"/>
      <c r="G577" s="94"/>
      <c r="H577" s="94"/>
      <c r="I577" s="94"/>
      <c r="J577" s="94"/>
      <c r="K577" s="94"/>
      <c r="L577" s="99"/>
      <c r="M577" s="99"/>
      <c r="N577" s="94"/>
      <c r="O577" s="94"/>
      <c r="P577" s="94"/>
      <c r="Q577" s="105">
        <v>0.1</v>
      </c>
      <c r="R577" s="106">
        <v>0.113</v>
      </c>
      <c r="S577" s="107">
        <v>0.13600000000000001</v>
      </c>
      <c r="T577" s="106">
        <v>0.54</v>
      </c>
      <c r="U577" s="106">
        <v>0.67</v>
      </c>
      <c r="V577" s="108">
        <f>ROUND((R577*N575+T577*L575+Q577*D575),4)</f>
        <v>0.55740000000000001</v>
      </c>
      <c r="W577" s="109">
        <f>ROUND((S577*0.9*O575+U577*0.9*L575+Q577*D575),4)</f>
        <v>0.84040000000000004</v>
      </c>
      <c r="X577" s="109">
        <f>ROUND((S577*P575+U577*L575+Q577*D575),4)</f>
        <v>2.8267000000000002</v>
      </c>
      <c r="Y577" s="109">
        <f>ROUND((T577*M575+Q577*E575),4)</f>
        <v>0.10539999999999999</v>
      </c>
      <c r="Z577" s="109">
        <f>ROUND((U577*0.9*M575+Q577*E575),4)</f>
        <v>0.106</v>
      </c>
      <c r="AA577" s="109">
        <f>ROUND((U577*M575+Q577*E575),4)</f>
        <v>0.1067</v>
      </c>
      <c r="AB577" s="109">
        <f>ROUND((H575*(V577+Y577)*G575*I575/1000000),5)</f>
        <v>1.1E-4</v>
      </c>
      <c r="AC577" s="109">
        <f>ROUND((H575*(W577+Z577)*G575*J575/1000000),5)</f>
        <v>0</v>
      </c>
      <c r="AD577" s="109">
        <f>ROUND((H575*(X577+AA577)*G575*K575/1000000),5)</f>
        <v>0</v>
      </c>
      <c r="AE577" s="103" t="s">
        <v>56</v>
      </c>
      <c r="AF577" s="104" t="s">
        <v>57</v>
      </c>
      <c r="AG577" s="105">
        <f>ROUND(((X577*F575/3600)),4)</f>
        <v>8.0000000000000004E-4</v>
      </c>
      <c r="AH577" s="105">
        <f>AB577+AC577+AD577</f>
        <v>1.1E-4</v>
      </c>
    </row>
    <row r="578" spans="1:36" ht="12.95" customHeight="1" x14ac:dyDescent="0.25">
      <c r="A578" s="576"/>
      <c r="B578" s="166"/>
      <c r="C578" s="94"/>
      <c r="D578" s="94"/>
      <c r="E578" s="94"/>
      <c r="F578" s="94"/>
      <c r="G578" s="94"/>
      <c r="H578" s="94"/>
      <c r="I578" s="94"/>
      <c r="J578" s="94"/>
      <c r="K578" s="94"/>
      <c r="L578" s="99"/>
      <c r="M578" s="99"/>
      <c r="N578" s="94"/>
      <c r="O578" s="94"/>
      <c r="P578" s="94"/>
      <c r="Q578" s="105">
        <v>0.45</v>
      </c>
      <c r="R578" s="106">
        <v>0.4</v>
      </c>
      <c r="S578" s="105">
        <v>1.1000000000000001</v>
      </c>
      <c r="T578" s="106">
        <v>1</v>
      </c>
      <c r="U578" s="106">
        <v>1.2</v>
      </c>
      <c r="V578" s="108">
        <f>ROUND((R578*N575+T578*L575+Q578*D575),4)</f>
        <v>2.06</v>
      </c>
      <c r="W578" s="109">
        <f>ROUND((S578*0.9*O575+U578*0.9*L575+Q578*D575),4)</f>
        <v>6.4008000000000003</v>
      </c>
      <c r="X578" s="109">
        <f>ROUND((S578*P575+U578*L575+Q578*D575),4)</f>
        <v>22.462</v>
      </c>
      <c r="Y578" s="109">
        <f>ROUND((T578*M575+Q578*E575),4)</f>
        <v>0.46</v>
      </c>
      <c r="Z578" s="109">
        <f>ROUND((U578*0.9*M575+Q578*E575),4)</f>
        <v>0.46079999999999999</v>
      </c>
      <c r="AA578" s="109">
        <f>ROUND((U578*M575+Q578*E575),4)</f>
        <v>0.46200000000000002</v>
      </c>
      <c r="AB578" s="109">
        <f>ROUND((H575*(V578+Y578)*G575*I575/1000000),4)</f>
        <v>4.0000000000000002E-4</v>
      </c>
      <c r="AC578" s="109">
        <f>ROUND((H575*(W578+Z578)*G575*J575/1000000),4)</f>
        <v>0</v>
      </c>
      <c r="AD578" s="109">
        <f>ROUND((H575*(X578+AA578)*G575*K575/1000000),4)</f>
        <v>0</v>
      </c>
      <c r="AE578" s="103" t="s">
        <v>177</v>
      </c>
      <c r="AF578" s="104" t="s">
        <v>178</v>
      </c>
      <c r="AG578" s="105">
        <f>ROUND(((X578*F575/3600)),4)</f>
        <v>6.1999999999999998E-3</v>
      </c>
      <c r="AH578" s="105">
        <f>AB578+AC578+AD578</f>
        <v>4.0000000000000002E-4</v>
      </c>
    </row>
    <row r="579" spans="1:36" ht="12.95" customHeight="1" x14ac:dyDescent="0.25">
      <c r="A579" s="577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9"/>
      <c r="M579" s="99"/>
      <c r="N579" s="94"/>
      <c r="O579" s="94"/>
      <c r="P579" s="94"/>
      <c r="Q579" s="105">
        <v>2.9</v>
      </c>
      <c r="R579" s="106">
        <v>3</v>
      </c>
      <c r="S579" s="105">
        <v>8.1999999999999993</v>
      </c>
      <c r="T579" s="106">
        <v>6.1</v>
      </c>
      <c r="U579" s="106">
        <v>7.4</v>
      </c>
      <c r="V579" s="167">
        <f>ROUND((R579*N575+T579*L575+Q579*D575),4)</f>
        <v>14.961</v>
      </c>
      <c r="W579" s="168">
        <f>ROUND((S579*0.9*O575+U579*0.9*L575+Q579*D575),4)</f>
        <v>47.246600000000001</v>
      </c>
      <c r="X579" s="168">
        <f>ROUND((S579*P575+U579*L575+Q579*D575),4)</f>
        <v>166.97399999999999</v>
      </c>
      <c r="Y579" s="168">
        <f>ROUND((T579*M575+Q579*E575),4)</f>
        <v>2.9609999999999999</v>
      </c>
      <c r="Z579" s="168">
        <f>ROUND((U579*0.9*M575+Q579*E575),4)</f>
        <v>2.9666000000000001</v>
      </c>
      <c r="AA579" s="168">
        <f>ROUND((U579*M575+Q579*E575),4)</f>
        <v>2.9740000000000002</v>
      </c>
      <c r="AB579" s="168">
        <f>ROUND((H575*(V579+Y579)*G575*I575/1000000),4)</f>
        <v>3.0999999999999999E-3</v>
      </c>
      <c r="AC579" s="168">
        <f>ROUND((H575*(W579+Z579)*G575*J575/1000000),4)</f>
        <v>0</v>
      </c>
      <c r="AD579" s="168">
        <f>ROUND((H575*(X579+AA579)*G575*K575/1000000),4)</f>
        <v>0</v>
      </c>
      <c r="AE579" s="103" t="s">
        <v>65</v>
      </c>
      <c r="AF579" s="104" t="s">
        <v>66</v>
      </c>
      <c r="AG579" s="105">
        <f>ROUND(((X579*F575/3600)),4)</f>
        <v>4.6399999999999997E-2</v>
      </c>
      <c r="AH579" s="105">
        <f>AB579+AC579+AD579</f>
        <v>3.0999999999999999E-3</v>
      </c>
    </row>
    <row r="580" spans="1:36" ht="12.95" customHeight="1" x14ac:dyDescent="0.25">
      <c r="A580" s="581"/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  <c r="L580" s="102"/>
      <c r="M580" s="102"/>
      <c r="N580" s="101"/>
      <c r="O580" s="101"/>
      <c r="P580" s="101"/>
      <c r="Q580" s="105">
        <v>0.04</v>
      </c>
      <c r="R580" s="106">
        <v>0.04</v>
      </c>
      <c r="S580" s="105">
        <v>0.16</v>
      </c>
      <c r="T580" s="106">
        <v>0.3</v>
      </c>
      <c r="U580" s="106">
        <v>0.4</v>
      </c>
      <c r="V580" s="167">
        <f>ROUND((R580*N575+T580*L575+Q580*D575),4)</f>
        <v>0.20300000000000001</v>
      </c>
      <c r="W580" s="168">
        <f>ROUND((S580*0.9*O575+U580*0.9*L575+Q580*D575),4)</f>
        <v>0.90759999999999996</v>
      </c>
      <c r="X580" s="168">
        <f>ROUND((S580*P575+U580*L575+Q580*D575),4)</f>
        <v>3.2440000000000002</v>
      </c>
      <c r="Y580" s="168">
        <f>ROUND((T580*M575+Q580*E575),4)</f>
        <v>4.2999999999999997E-2</v>
      </c>
      <c r="Z580" s="168">
        <f>ROUND((U580*0.9*M575+Q580*E575),4)</f>
        <v>4.36E-2</v>
      </c>
      <c r="AA580" s="168">
        <f>ROUND((U580*M575+Q580*E575),4)</f>
        <v>4.3999999999999997E-2</v>
      </c>
      <c r="AB580" s="168">
        <f>ROUND((H575*(V580+Y580)*G575*I575/1000000),5)</f>
        <v>4.0000000000000003E-5</v>
      </c>
      <c r="AC580" s="168">
        <f>ROUND((H575*(W580+Z580)*G575*J575/1000000),5)</f>
        <v>0</v>
      </c>
      <c r="AD580" s="168">
        <f>ROUND((H575*(X580+AA580)*G575*K575/1000000),4)</f>
        <v>0</v>
      </c>
      <c r="AE580" s="103" t="s">
        <v>213</v>
      </c>
      <c r="AF580" s="104" t="s">
        <v>62</v>
      </c>
      <c r="AG580" s="105">
        <f>ROUND(((X580*F575/3600)),4)</f>
        <v>8.9999999999999998E-4</v>
      </c>
      <c r="AH580" s="105">
        <f>AB580+AC580+AD580</f>
        <v>4.0000000000000003E-5</v>
      </c>
      <c r="AI580" s="61">
        <f>SUM(AG575:AG580)</f>
        <v>6.4899999999999999E-2</v>
      </c>
      <c r="AJ580" s="61">
        <f>SUM(AH575:AH580)</f>
        <v>4.6499999999999996E-3</v>
      </c>
    </row>
    <row r="581" spans="1:36" ht="12.95" customHeight="1" x14ac:dyDescent="0.25">
      <c r="A581" s="1518" t="s">
        <v>715</v>
      </c>
      <c r="B581" s="1519"/>
      <c r="C581" s="1519"/>
      <c r="D581" s="1519"/>
      <c r="E581" s="1519"/>
      <c r="F581" s="1519"/>
      <c r="G581" s="1519"/>
      <c r="H581" s="1519"/>
      <c r="I581" s="1519"/>
      <c r="J581" s="1519"/>
      <c r="K581" s="1519"/>
      <c r="L581" s="1519"/>
      <c r="M581" s="1519"/>
      <c r="N581" s="1519"/>
      <c r="O581" s="1519"/>
      <c r="P581" s="1519"/>
      <c r="Q581" s="1519"/>
      <c r="R581" s="1519"/>
      <c r="S581" s="1519"/>
      <c r="T581" s="1520"/>
      <c r="U581" s="1520"/>
      <c r="V581" s="1519"/>
      <c r="W581" s="1519"/>
      <c r="X581" s="1519"/>
      <c r="Y581" s="1519"/>
      <c r="Z581" s="1519"/>
      <c r="AA581" s="1519"/>
      <c r="AB581" s="1519"/>
      <c r="AC581" s="1519"/>
      <c r="AD581" s="1519"/>
      <c r="AE581" s="1519"/>
      <c r="AF581" s="1519"/>
      <c r="AG581" s="1519"/>
      <c r="AH581" s="1521"/>
    </row>
    <row r="582" spans="1:36" ht="12.95" customHeight="1" x14ac:dyDescent="0.25">
      <c r="A582" s="574" t="s">
        <v>1020</v>
      </c>
      <c r="B582" s="93" t="s">
        <v>211</v>
      </c>
      <c r="C582" s="1109" t="s">
        <v>444</v>
      </c>
      <c r="D582" s="97">
        <v>1</v>
      </c>
      <c r="E582" s="97">
        <v>1</v>
      </c>
      <c r="F582" s="97">
        <v>1</v>
      </c>
      <c r="G582" s="97">
        <v>1</v>
      </c>
      <c r="H582" s="97">
        <f>ROUND((F582/G582),2)</f>
        <v>1</v>
      </c>
      <c r="I582" s="97">
        <v>173</v>
      </c>
      <c r="J582" s="97">
        <v>0</v>
      </c>
      <c r="K582" s="98">
        <v>0</v>
      </c>
      <c r="L582" s="98">
        <v>0.01</v>
      </c>
      <c r="M582" s="98">
        <v>0.01</v>
      </c>
      <c r="N582" s="97">
        <v>4</v>
      </c>
      <c r="O582" s="97">
        <v>6</v>
      </c>
      <c r="P582" s="97">
        <v>20</v>
      </c>
      <c r="Q582" s="97">
        <v>1</v>
      </c>
      <c r="R582" s="96">
        <v>1</v>
      </c>
      <c r="S582" s="97">
        <v>2</v>
      </c>
      <c r="T582" s="96">
        <v>4</v>
      </c>
      <c r="U582" s="96">
        <v>4</v>
      </c>
      <c r="V582" s="108">
        <f>ROUND((R582*N582+T582*L582+Q582*D582),4)</f>
        <v>5.04</v>
      </c>
      <c r="W582" s="109">
        <f>ROUND((S582*O582+U582*L582+Q582*D582),4)</f>
        <v>13.04</v>
      </c>
      <c r="X582" s="109">
        <f>ROUND((S582*P582+U582*L582+Q582*D582),4)</f>
        <v>41.04</v>
      </c>
      <c r="Y582" s="109">
        <f>ROUND((T582*M582+Q582*E582),4)</f>
        <v>1.04</v>
      </c>
      <c r="Z582" s="109">
        <f>ROUND((U582*M582+Q582*E582),4)</f>
        <v>1.04</v>
      </c>
      <c r="AA582" s="109">
        <f>ROUND((U582*M582+Q582*E582),4)</f>
        <v>1.04</v>
      </c>
      <c r="AB582" s="109">
        <f>ROUND((H582*(V582+Y582)*G582*I582/1000000),4)</f>
        <v>1.1000000000000001E-3</v>
      </c>
      <c r="AC582" s="109">
        <f>ROUND((H582*(W582+Z582)*G582*J582/1000000),4)</f>
        <v>0</v>
      </c>
      <c r="AD582" s="109">
        <f>ROUND((H582*(X582+AA582)*G582*K582/1000000),4)</f>
        <v>0</v>
      </c>
      <c r="AE582" s="103" t="s">
        <v>48</v>
      </c>
      <c r="AF582" s="104" t="s">
        <v>49</v>
      </c>
      <c r="AG582" s="105">
        <f>ROUND(((X582*F582/3600)*0.8),4)</f>
        <v>9.1000000000000004E-3</v>
      </c>
      <c r="AH582" s="105">
        <f>ROUND(((AB582+AC582+AD582)*0.8),4)</f>
        <v>8.9999999999999998E-4</v>
      </c>
    </row>
    <row r="583" spans="1:36" ht="12.95" customHeight="1" x14ac:dyDescent="0.25">
      <c r="A583" s="575" t="s">
        <v>150</v>
      </c>
      <c r="B583" s="94" t="s">
        <v>212</v>
      </c>
      <c r="C583" s="1110"/>
      <c r="D583" s="94"/>
      <c r="E583" s="94"/>
      <c r="F583" s="94"/>
      <c r="G583" s="94"/>
      <c r="H583" s="94"/>
      <c r="I583" s="94"/>
      <c r="J583" s="94"/>
      <c r="K583" s="94"/>
      <c r="L583" s="99"/>
      <c r="M583" s="99"/>
      <c r="N583" s="94"/>
      <c r="O583" s="94"/>
      <c r="P583" s="94"/>
      <c r="Q583" s="101"/>
      <c r="R583" s="101"/>
      <c r="S583" s="102"/>
      <c r="T583" s="101"/>
      <c r="U583" s="101"/>
      <c r="V583" s="110"/>
      <c r="W583" s="111"/>
      <c r="X583" s="111"/>
      <c r="Y583" s="111"/>
      <c r="Z583" s="111"/>
      <c r="AA583" s="111"/>
      <c r="AB583" s="111"/>
      <c r="AC583" s="111"/>
      <c r="AD583" s="111"/>
      <c r="AE583" s="103" t="s">
        <v>51</v>
      </c>
      <c r="AF583" s="104" t="s">
        <v>52</v>
      </c>
      <c r="AG583" s="105">
        <f>ROUND(((X582*F582/3600)*0.13),4)</f>
        <v>1.5E-3</v>
      </c>
      <c r="AH583" s="105">
        <f>ROUND(((AB582+AC582+AD582)*0.13),4)</f>
        <v>1E-4</v>
      </c>
    </row>
    <row r="584" spans="1:36" ht="12.95" customHeight="1" x14ac:dyDescent="0.25">
      <c r="A584" s="576"/>
      <c r="B584" s="95" t="s">
        <v>491</v>
      </c>
      <c r="C584" s="95"/>
      <c r="D584" s="94"/>
      <c r="E584" s="94"/>
      <c r="F584" s="94"/>
      <c r="G584" s="94"/>
      <c r="H584" s="94"/>
      <c r="I584" s="94"/>
      <c r="J584" s="94"/>
      <c r="K584" s="94"/>
      <c r="L584" s="99"/>
      <c r="M584" s="99"/>
      <c r="N584" s="94"/>
      <c r="O584" s="94"/>
      <c r="P584" s="94"/>
      <c r="Q584" s="105">
        <v>0.1</v>
      </c>
      <c r="R584" s="106">
        <v>0.113</v>
      </c>
      <c r="S584" s="107">
        <v>0.13600000000000001</v>
      </c>
      <c r="T584" s="106">
        <v>0.54</v>
      </c>
      <c r="U584" s="106">
        <v>0.67</v>
      </c>
      <c r="V584" s="108">
        <f>ROUND((R584*N582+T584*L582+Q584*D582),4)</f>
        <v>0.55740000000000001</v>
      </c>
      <c r="W584" s="109">
        <f>ROUND((S584*0.9*O582+U584*0.9*L582+Q584*D582),4)</f>
        <v>0.84040000000000004</v>
      </c>
      <c r="X584" s="109">
        <f>ROUND((S584*P582+U584*L582+Q584*D582),4)</f>
        <v>2.8267000000000002</v>
      </c>
      <c r="Y584" s="109">
        <f>ROUND((T584*M582+Q584*E582),4)</f>
        <v>0.10539999999999999</v>
      </c>
      <c r="Z584" s="109">
        <f>ROUND((U584*0.9*M582+Q584*E582),4)</f>
        <v>0.106</v>
      </c>
      <c r="AA584" s="109">
        <f>ROUND((U584*M582+Q584*E582),4)</f>
        <v>0.1067</v>
      </c>
      <c r="AB584" s="109">
        <f>ROUND((H582*(V584+Y584)*G582*I582/1000000),5)</f>
        <v>1.1E-4</v>
      </c>
      <c r="AC584" s="109">
        <f>ROUND((H582*(W584+Z584)*G582*J582/1000000),5)</f>
        <v>0</v>
      </c>
      <c r="AD584" s="109">
        <f>ROUND((H582*(X584+AA584)*G582*K582/1000000),5)</f>
        <v>0</v>
      </c>
      <c r="AE584" s="103" t="s">
        <v>56</v>
      </c>
      <c r="AF584" s="104" t="s">
        <v>57</v>
      </c>
      <c r="AG584" s="105">
        <f>ROUND(((X584*F582/3600)),4)</f>
        <v>8.0000000000000004E-4</v>
      </c>
      <c r="AH584" s="105">
        <f>AB584+AC584+AD584</f>
        <v>1.1E-4</v>
      </c>
    </row>
    <row r="585" spans="1:36" ht="12.95" customHeight="1" x14ac:dyDescent="0.25">
      <c r="A585" s="576"/>
      <c r="B585" s="166"/>
      <c r="C585" s="94"/>
      <c r="D585" s="94"/>
      <c r="E585" s="94"/>
      <c r="F585" s="94"/>
      <c r="G585" s="94"/>
      <c r="H585" s="94"/>
      <c r="I585" s="94"/>
      <c r="J585" s="94"/>
      <c r="K585" s="94"/>
      <c r="L585" s="99"/>
      <c r="M585" s="99"/>
      <c r="N585" s="94"/>
      <c r="O585" s="94"/>
      <c r="P585" s="94"/>
      <c r="Q585" s="105">
        <v>0.45</v>
      </c>
      <c r="R585" s="106">
        <v>0.4</v>
      </c>
      <c r="S585" s="105">
        <v>1.1000000000000001</v>
      </c>
      <c r="T585" s="106">
        <v>1</v>
      </c>
      <c r="U585" s="106">
        <v>1.2</v>
      </c>
      <c r="V585" s="108">
        <f>ROUND((R585*N582+T585*L582+Q585*D582),4)</f>
        <v>2.06</v>
      </c>
      <c r="W585" s="109">
        <f>ROUND((S585*0.9*O582+U585*0.9*L582+Q585*D582),4)</f>
        <v>6.4008000000000003</v>
      </c>
      <c r="X585" s="109">
        <f>ROUND((S585*P582+U585*L582+Q585*D582),4)</f>
        <v>22.462</v>
      </c>
      <c r="Y585" s="109">
        <f>ROUND((T585*M582+Q585*E582),4)</f>
        <v>0.46</v>
      </c>
      <c r="Z585" s="109">
        <f>ROUND((U585*0.9*M582+Q585*E582),4)</f>
        <v>0.46079999999999999</v>
      </c>
      <c r="AA585" s="109">
        <f>ROUND((U585*M582+Q585*E582),4)</f>
        <v>0.46200000000000002</v>
      </c>
      <c r="AB585" s="109">
        <f>ROUND((H582*(V585+Y585)*G582*I582/1000000),4)</f>
        <v>4.0000000000000002E-4</v>
      </c>
      <c r="AC585" s="109">
        <f>ROUND((H582*(W585+Z585)*G582*J582/1000000),4)</f>
        <v>0</v>
      </c>
      <c r="AD585" s="109">
        <f>ROUND((H582*(X585+AA585)*G582*K582/1000000),4)</f>
        <v>0</v>
      </c>
      <c r="AE585" s="103" t="s">
        <v>177</v>
      </c>
      <c r="AF585" s="104" t="s">
        <v>178</v>
      </c>
      <c r="AG585" s="105">
        <f>ROUND(((X585*F582/3600)),4)</f>
        <v>6.1999999999999998E-3</v>
      </c>
      <c r="AH585" s="105">
        <f>AB585+AC585+AD585</f>
        <v>4.0000000000000002E-4</v>
      </c>
    </row>
    <row r="586" spans="1:36" ht="12.95" customHeight="1" x14ac:dyDescent="0.25">
      <c r="A586" s="577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9"/>
      <c r="M586" s="99"/>
      <c r="N586" s="94"/>
      <c r="O586" s="94"/>
      <c r="P586" s="94"/>
      <c r="Q586" s="105">
        <v>2.9</v>
      </c>
      <c r="R586" s="106">
        <v>3</v>
      </c>
      <c r="S586" s="105">
        <v>8.1999999999999993</v>
      </c>
      <c r="T586" s="106">
        <v>6.1</v>
      </c>
      <c r="U586" s="106">
        <v>7.4</v>
      </c>
      <c r="V586" s="167">
        <f>ROUND((R586*N582+T586*L582+Q586*D582),4)</f>
        <v>14.961</v>
      </c>
      <c r="W586" s="168">
        <f>ROUND((S586*0.9*O582+U586*0.9*L582+Q586*D582),4)</f>
        <v>47.246600000000001</v>
      </c>
      <c r="X586" s="168">
        <f>ROUND((S586*P582+U586*L582+Q586*D582),4)</f>
        <v>166.97399999999999</v>
      </c>
      <c r="Y586" s="168">
        <f>ROUND((T586*M582+Q586*E582),4)</f>
        <v>2.9609999999999999</v>
      </c>
      <c r="Z586" s="168">
        <f>ROUND((U586*0.9*M582+Q586*E582),4)</f>
        <v>2.9666000000000001</v>
      </c>
      <c r="AA586" s="168">
        <f>ROUND((U586*M582+Q586*E582),4)</f>
        <v>2.9740000000000002</v>
      </c>
      <c r="AB586" s="168">
        <f>ROUND((H582*(V586+Y586)*G582*I582/1000000),4)</f>
        <v>3.0999999999999999E-3</v>
      </c>
      <c r="AC586" s="168">
        <f>ROUND((H582*(W586+Z586)*G582*J582/1000000),4)</f>
        <v>0</v>
      </c>
      <c r="AD586" s="168">
        <f>ROUND((H582*(X586+AA586)*G582*K582/1000000),4)</f>
        <v>0</v>
      </c>
      <c r="AE586" s="103" t="s">
        <v>65</v>
      </c>
      <c r="AF586" s="104" t="s">
        <v>66</v>
      </c>
      <c r="AG586" s="105">
        <f>ROUND(((X586*F582/3600)),4)</f>
        <v>4.6399999999999997E-2</v>
      </c>
      <c r="AH586" s="105">
        <f>AB586+AC586+AD586</f>
        <v>3.0999999999999999E-3</v>
      </c>
    </row>
    <row r="587" spans="1:36" ht="12.95" customHeight="1" x14ac:dyDescent="0.25">
      <c r="A587" s="581"/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  <c r="L587" s="102"/>
      <c r="M587" s="102"/>
      <c r="N587" s="101"/>
      <c r="O587" s="101"/>
      <c r="P587" s="101"/>
      <c r="Q587" s="105">
        <v>0.04</v>
      </c>
      <c r="R587" s="106">
        <v>0.04</v>
      </c>
      <c r="S587" s="105">
        <v>0.16</v>
      </c>
      <c r="T587" s="106">
        <v>0.3</v>
      </c>
      <c r="U587" s="106">
        <v>0.4</v>
      </c>
      <c r="V587" s="167">
        <f>ROUND((R587*N582+T587*L582+Q587*D582),4)</f>
        <v>0.20300000000000001</v>
      </c>
      <c r="W587" s="168">
        <f>ROUND((S587*0.9*O582+U587*0.9*L582+Q587*D582),4)</f>
        <v>0.90759999999999996</v>
      </c>
      <c r="X587" s="168">
        <f>ROUND((S587*P582+U587*L582+Q587*D582),4)</f>
        <v>3.2440000000000002</v>
      </c>
      <c r="Y587" s="168">
        <f>ROUND((T587*M582+Q587*E582),4)</f>
        <v>4.2999999999999997E-2</v>
      </c>
      <c r="Z587" s="168">
        <f>ROUND((U587*0.9*M582+Q587*E582),4)</f>
        <v>4.36E-2</v>
      </c>
      <c r="AA587" s="168">
        <f>ROUND((U587*M582+Q587*E582),4)</f>
        <v>4.3999999999999997E-2</v>
      </c>
      <c r="AB587" s="168">
        <f>ROUND((H582*(V587+Y587)*G582*I582/1000000),5)</f>
        <v>4.0000000000000003E-5</v>
      </c>
      <c r="AC587" s="168">
        <f>ROUND((H582*(W587+Z587)*G582*J582/1000000),5)</f>
        <v>0</v>
      </c>
      <c r="AD587" s="168">
        <f>ROUND((H582*(X587+AA587)*G582*K582/1000000),4)</f>
        <v>0</v>
      </c>
      <c r="AE587" s="103" t="s">
        <v>213</v>
      </c>
      <c r="AF587" s="104" t="s">
        <v>62</v>
      </c>
      <c r="AG587" s="105">
        <f>ROUND(((X587*F582/3600)),4)</f>
        <v>8.9999999999999998E-4</v>
      </c>
      <c r="AH587" s="105">
        <f>AB587+AC587+AD587</f>
        <v>4.0000000000000003E-5</v>
      </c>
      <c r="AI587" s="61">
        <f>SUM(AG582:AG587)</f>
        <v>6.4899999999999999E-2</v>
      </c>
      <c r="AJ587" s="61">
        <f>SUM(AH582:AH587)</f>
        <v>4.6499999999999996E-3</v>
      </c>
    </row>
    <row r="588" spans="1:36" ht="12.95" customHeight="1" x14ac:dyDescent="0.25">
      <c r="A588" s="1518" t="s">
        <v>716</v>
      </c>
      <c r="B588" s="1519"/>
      <c r="C588" s="1519"/>
      <c r="D588" s="1519"/>
      <c r="E588" s="1519"/>
      <c r="F588" s="1519"/>
      <c r="G588" s="1519"/>
      <c r="H588" s="1519"/>
      <c r="I588" s="1519"/>
      <c r="J588" s="1519"/>
      <c r="K588" s="1519"/>
      <c r="L588" s="1519"/>
      <c r="M588" s="1519"/>
      <c r="N588" s="1519"/>
      <c r="O588" s="1519"/>
      <c r="P588" s="1519"/>
      <c r="Q588" s="1519"/>
      <c r="R588" s="1519"/>
      <c r="S588" s="1519"/>
      <c r="T588" s="1520"/>
      <c r="U588" s="1520"/>
      <c r="V588" s="1519"/>
      <c r="W588" s="1519"/>
      <c r="X588" s="1519"/>
      <c r="Y588" s="1519"/>
      <c r="Z588" s="1519"/>
      <c r="AA588" s="1519"/>
      <c r="AB588" s="1519"/>
      <c r="AC588" s="1519"/>
      <c r="AD588" s="1519"/>
      <c r="AE588" s="1519"/>
      <c r="AF588" s="1519"/>
      <c r="AG588" s="1519"/>
      <c r="AH588" s="1521"/>
    </row>
    <row r="589" spans="1:36" ht="12.95" customHeight="1" x14ac:dyDescent="0.25">
      <c r="A589" s="574" t="s">
        <v>1021</v>
      </c>
      <c r="B589" s="93" t="s">
        <v>211</v>
      </c>
      <c r="C589" s="1109" t="s">
        <v>444</v>
      </c>
      <c r="D589" s="97">
        <v>1</v>
      </c>
      <c r="E589" s="97">
        <v>1</v>
      </c>
      <c r="F589" s="97">
        <v>1</v>
      </c>
      <c r="G589" s="97">
        <v>1</v>
      </c>
      <c r="H589" s="97">
        <f>ROUND((F589/G589),2)</f>
        <v>1</v>
      </c>
      <c r="I589" s="97">
        <v>180</v>
      </c>
      <c r="J589" s="97">
        <v>90</v>
      </c>
      <c r="K589" s="98">
        <v>95</v>
      </c>
      <c r="L589" s="98">
        <v>0.01</v>
      </c>
      <c r="M589" s="98">
        <v>0.01</v>
      </c>
      <c r="N589" s="97">
        <v>4</v>
      </c>
      <c r="O589" s="97">
        <v>6</v>
      </c>
      <c r="P589" s="97">
        <v>20</v>
      </c>
      <c r="Q589" s="97">
        <v>1</v>
      </c>
      <c r="R589" s="96">
        <v>1</v>
      </c>
      <c r="S589" s="97">
        <v>2</v>
      </c>
      <c r="T589" s="96">
        <v>4</v>
      </c>
      <c r="U589" s="96">
        <v>4</v>
      </c>
      <c r="V589" s="108">
        <f>ROUND((R589*N589+T589*L589+Q589*D589),4)</f>
        <v>5.04</v>
      </c>
      <c r="W589" s="109">
        <f>ROUND((S589*O589+U589*L589+Q589*D589),4)</f>
        <v>13.04</v>
      </c>
      <c r="X589" s="109">
        <f>ROUND((S589*P589+U589*L589+Q589*D589),4)</f>
        <v>41.04</v>
      </c>
      <c r="Y589" s="109">
        <f>ROUND((T589*M589+Q589*E589),4)</f>
        <v>1.04</v>
      </c>
      <c r="Z589" s="109">
        <f>ROUND((U589*M589+Q589*E589),4)</f>
        <v>1.04</v>
      </c>
      <c r="AA589" s="109">
        <f>ROUND((U589*M589+Q589*E589),4)</f>
        <v>1.04</v>
      </c>
      <c r="AB589" s="109">
        <f>ROUND((H589*(V589+Y589)*G589*I589/1000000),4)</f>
        <v>1.1000000000000001E-3</v>
      </c>
      <c r="AC589" s="109">
        <f>ROUND((H589*(W589+Z589)*G589*J589/1000000),4)</f>
        <v>1.2999999999999999E-3</v>
      </c>
      <c r="AD589" s="109">
        <f>ROUND((H589*(X589+AA589)*G589*K589/1000000),4)</f>
        <v>4.0000000000000001E-3</v>
      </c>
      <c r="AE589" s="103" t="s">
        <v>48</v>
      </c>
      <c r="AF589" s="104" t="s">
        <v>49</v>
      </c>
      <c r="AG589" s="105">
        <f>ROUND(((X589*F589/3600)*0.8),4)</f>
        <v>9.1000000000000004E-3</v>
      </c>
      <c r="AH589" s="105">
        <f>ROUND(((AB589+AC589+AD589)*0.8),4)</f>
        <v>5.1000000000000004E-3</v>
      </c>
    </row>
    <row r="590" spans="1:36" ht="12.95" customHeight="1" x14ac:dyDescent="0.25">
      <c r="A590" s="575" t="s">
        <v>150</v>
      </c>
      <c r="B590" s="94" t="s">
        <v>212</v>
      </c>
      <c r="C590" s="1110"/>
      <c r="D590" s="94"/>
      <c r="E590" s="94"/>
      <c r="F590" s="94"/>
      <c r="G590" s="94"/>
      <c r="H590" s="94"/>
      <c r="I590" s="94"/>
      <c r="J590" s="94"/>
      <c r="K590" s="94"/>
      <c r="L590" s="99"/>
      <c r="M590" s="99"/>
      <c r="N590" s="94"/>
      <c r="O590" s="94"/>
      <c r="P590" s="94"/>
      <c r="Q590" s="101"/>
      <c r="R590" s="101"/>
      <c r="S590" s="102"/>
      <c r="T590" s="101"/>
      <c r="U590" s="101"/>
      <c r="V590" s="110"/>
      <c r="W590" s="111"/>
      <c r="X590" s="111"/>
      <c r="Y590" s="111"/>
      <c r="Z590" s="111"/>
      <c r="AA590" s="111"/>
      <c r="AB590" s="111"/>
      <c r="AC590" s="111"/>
      <c r="AD590" s="111"/>
      <c r="AE590" s="103" t="s">
        <v>51</v>
      </c>
      <c r="AF590" s="104" t="s">
        <v>52</v>
      </c>
      <c r="AG590" s="105">
        <f>ROUND(((X589*F589/3600)*0.13),4)</f>
        <v>1.5E-3</v>
      </c>
      <c r="AH590" s="105">
        <f>ROUND(((AB589+AC589+AD589)*0.13),4)</f>
        <v>8.0000000000000004E-4</v>
      </c>
    </row>
    <row r="591" spans="1:36" ht="12.95" customHeight="1" x14ac:dyDescent="0.25">
      <c r="A591" s="576"/>
      <c r="B591" s="95" t="s">
        <v>491</v>
      </c>
      <c r="C591" s="95"/>
      <c r="D591" s="94"/>
      <c r="E591" s="94"/>
      <c r="F591" s="94"/>
      <c r="G591" s="94"/>
      <c r="H591" s="94"/>
      <c r="I591" s="94"/>
      <c r="J591" s="94"/>
      <c r="K591" s="94"/>
      <c r="L591" s="99"/>
      <c r="M591" s="99"/>
      <c r="N591" s="94"/>
      <c r="O591" s="94"/>
      <c r="P591" s="94"/>
      <c r="Q591" s="105">
        <v>0.1</v>
      </c>
      <c r="R591" s="106">
        <v>0.113</v>
      </c>
      <c r="S591" s="107">
        <v>0.13600000000000001</v>
      </c>
      <c r="T591" s="106">
        <v>0.54</v>
      </c>
      <c r="U591" s="106">
        <v>0.67</v>
      </c>
      <c r="V591" s="108">
        <f>ROUND((R591*N589+T591*L589+Q591*D589),4)</f>
        <v>0.55740000000000001</v>
      </c>
      <c r="W591" s="109">
        <f>ROUND((S591*0.9*O589+U591*0.9*L589+Q591*D589),4)</f>
        <v>0.84040000000000004</v>
      </c>
      <c r="X591" s="109">
        <f>ROUND((S591*P589+U591*L589+Q591*D589),4)</f>
        <v>2.8267000000000002</v>
      </c>
      <c r="Y591" s="109">
        <f>ROUND((T591*M589+Q591*E589),4)</f>
        <v>0.10539999999999999</v>
      </c>
      <c r="Z591" s="109">
        <f>ROUND((U591*0.9*M589+Q591*E589),4)</f>
        <v>0.106</v>
      </c>
      <c r="AA591" s="109">
        <f>ROUND((U591*M589+Q591*E589),4)</f>
        <v>0.1067</v>
      </c>
      <c r="AB591" s="109">
        <f>ROUND((H589*(V591+Y591)*G589*I589/1000000),5)</f>
        <v>1.2E-4</v>
      </c>
      <c r="AC591" s="109">
        <f>ROUND((H589*(W591+Z591)*G589*J589/1000000),5)</f>
        <v>9.0000000000000006E-5</v>
      </c>
      <c r="AD591" s="109">
        <f>ROUND((H589*(X591+AA591)*G589*K589/1000000),5)</f>
        <v>2.7999999999999998E-4</v>
      </c>
      <c r="AE591" s="103" t="s">
        <v>56</v>
      </c>
      <c r="AF591" s="104" t="s">
        <v>57</v>
      </c>
      <c r="AG591" s="105">
        <f>ROUND(((X591*F589/3600)),4)</f>
        <v>8.0000000000000004E-4</v>
      </c>
      <c r="AH591" s="105">
        <f>AB591+AC591+AD591</f>
        <v>4.8999999999999998E-4</v>
      </c>
    </row>
    <row r="592" spans="1:36" ht="12.95" customHeight="1" x14ac:dyDescent="0.25">
      <c r="A592" s="576"/>
      <c r="B592" s="166"/>
      <c r="C592" s="94"/>
      <c r="D592" s="94"/>
      <c r="E592" s="94"/>
      <c r="F592" s="94"/>
      <c r="G592" s="94"/>
      <c r="H592" s="94"/>
      <c r="I592" s="94"/>
      <c r="J592" s="94"/>
      <c r="K592" s="94"/>
      <c r="L592" s="99"/>
      <c r="M592" s="99"/>
      <c r="N592" s="94"/>
      <c r="O592" s="94"/>
      <c r="P592" s="94"/>
      <c r="Q592" s="105">
        <v>0.45</v>
      </c>
      <c r="R592" s="106">
        <v>0.4</v>
      </c>
      <c r="S592" s="105">
        <v>1.1000000000000001</v>
      </c>
      <c r="T592" s="106">
        <v>1</v>
      </c>
      <c r="U592" s="106">
        <v>1.2</v>
      </c>
      <c r="V592" s="108">
        <f>ROUND((R592*N589+T592*L589+Q592*D589),4)</f>
        <v>2.06</v>
      </c>
      <c r="W592" s="109">
        <f>ROUND((S592*0.9*O589+U592*0.9*L589+Q592*D589),4)</f>
        <v>6.4008000000000003</v>
      </c>
      <c r="X592" s="109">
        <f>ROUND((S592*P589+U592*L589+Q592*D589),4)</f>
        <v>22.462</v>
      </c>
      <c r="Y592" s="109">
        <f>ROUND((T592*M589+Q592*E589),4)</f>
        <v>0.46</v>
      </c>
      <c r="Z592" s="109">
        <f>ROUND((U592*0.9*M589+Q592*E589),4)</f>
        <v>0.46079999999999999</v>
      </c>
      <c r="AA592" s="109">
        <f>ROUND((U592*M589+Q592*E589),4)</f>
        <v>0.46200000000000002</v>
      </c>
      <c r="AB592" s="109">
        <f>ROUND((H589*(V592+Y592)*G589*I589/1000000),4)</f>
        <v>5.0000000000000001E-4</v>
      </c>
      <c r="AC592" s="109">
        <f>ROUND((H589*(W592+Z592)*G589*J589/1000000),4)</f>
        <v>5.9999999999999995E-4</v>
      </c>
      <c r="AD592" s="109">
        <f>ROUND((H589*(X592+AA592)*G589*K589/1000000),4)</f>
        <v>2.2000000000000001E-3</v>
      </c>
      <c r="AE592" s="103" t="s">
        <v>177</v>
      </c>
      <c r="AF592" s="104" t="s">
        <v>178</v>
      </c>
      <c r="AG592" s="105">
        <f>ROUND(((X592*F589/3600)),4)</f>
        <v>6.1999999999999998E-3</v>
      </c>
      <c r="AH592" s="105">
        <f>AB592+AC592+AD592</f>
        <v>3.3E-3</v>
      </c>
    </row>
    <row r="593" spans="1:36" ht="12.95" customHeight="1" x14ac:dyDescent="0.25">
      <c r="A593" s="577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9"/>
      <c r="M593" s="99"/>
      <c r="N593" s="94"/>
      <c r="O593" s="94"/>
      <c r="P593" s="94"/>
      <c r="Q593" s="105">
        <v>2.9</v>
      </c>
      <c r="R593" s="106">
        <v>3</v>
      </c>
      <c r="S593" s="105">
        <v>8.1999999999999993</v>
      </c>
      <c r="T593" s="106">
        <v>6.1</v>
      </c>
      <c r="U593" s="106">
        <v>7.4</v>
      </c>
      <c r="V593" s="167">
        <f>ROUND((R593*N589+T593*L589+Q593*D589),4)</f>
        <v>14.961</v>
      </c>
      <c r="W593" s="168">
        <f>ROUND((S593*0.9*O589+U593*0.9*L589+Q593*D589),4)</f>
        <v>47.246600000000001</v>
      </c>
      <c r="X593" s="168">
        <f>ROUND((S593*P589+U593*L589+Q593*D589),4)</f>
        <v>166.97399999999999</v>
      </c>
      <c r="Y593" s="168">
        <f>ROUND((T593*M589+Q593*E589),4)</f>
        <v>2.9609999999999999</v>
      </c>
      <c r="Z593" s="168">
        <f>ROUND((U593*0.9*M589+Q593*E589),4)</f>
        <v>2.9666000000000001</v>
      </c>
      <c r="AA593" s="168">
        <f>ROUND((U593*M589+Q593*E589),4)</f>
        <v>2.9740000000000002</v>
      </c>
      <c r="AB593" s="168">
        <f>ROUND((H589*(V593+Y593)*G589*I589/1000000),4)</f>
        <v>3.2000000000000002E-3</v>
      </c>
      <c r="AC593" s="168">
        <f>ROUND((H589*(W593+Z593)*G589*J589/1000000),4)</f>
        <v>4.4999999999999997E-3</v>
      </c>
      <c r="AD593" s="168">
        <f>ROUND((H589*(X593+AA593)*G589*K589/1000000),4)</f>
        <v>1.61E-2</v>
      </c>
      <c r="AE593" s="103" t="s">
        <v>65</v>
      </c>
      <c r="AF593" s="104" t="s">
        <v>66</v>
      </c>
      <c r="AG593" s="105">
        <f>ROUND(((X593*F589/3600)),4)</f>
        <v>4.6399999999999997E-2</v>
      </c>
      <c r="AH593" s="105">
        <f>AB593+AC593+AD593</f>
        <v>2.3800000000000002E-2</v>
      </c>
    </row>
    <row r="594" spans="1:36" ht="12.95" customHeight="1" x14ac:dyDescent="0.25">
      <c r="A594" s="581"/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  <c r="L594" s="102"/>
      <c r="M594" s="102"/>
      <c r="N594" s="101"/>
      <c r="O594" s="101"/>
      <c r="P594" s="101"/>
      <c r="Q594" s="105">
        <v>0.04</v>
      </c>
      <c r="R594" s="106">
        <v>0.04</v>
      </c>
      <c r="S594" s="105">
        <v>0.16</v>
      </c>
      <c r="T594" s="106">
        <v>0.3</v>
      </c>
      <c r="U594" s="106">
        <v>0.4</v>
      </c>
      <c r="V594" s="167">
        <f>ROUND((R594*N589+T594*L589+Q594*D589),4)</f>
        <v>0.20300000000000001</v>
      </c>
      <c r="W594" s="168">
        <f>ROUND((S594*0.9*O589+U594*0.9*L589+Q594*D589),4)</f>
        <v>0.90759999999999996</v>
      </c>
      <c r="X594" s="168">
        <f>ROUND((S594*P589+U594*L589+Q594*D589),4)</f>
        <v>3.2440000000000002</v>
      </c>
      <c r="Y594" s="168">
        <f>ROUND((T594*M589+Q594*E589),4)</f>
        <v>4.2999999999999997E-2</v>
      </c>
      <c r="Z594" s="168">
        <f>ROUND((U594*0.9*M589+Q594*E589),4)</f>
        <v>4.36E-2</v>
      </c>
      <c r="AA594" s="168">
        <f>ROUND((U594*M589+Q594*E589),4)</f>
        <v>4.3999999999999997E-2</v>
      </c>
      <c r="AB594" s="168">
        <f>ROUND((H589*(V594+Y594)*G589*I589/1000000),5)</f>
        <v>4.0000000000000003E-5</v>
      </c>
      <c r="AC594" s="168">
        <f>ROUND((H589*(W594+Z594)*G589*J589/1000000),5)</f>
        <v>9.0000000000000006E-5</v>
      </c>
      <c r="AD594" s="168">
        <f>ROUND((H589*(X594+AA594)*G589*K589/1000000),4)</f>
        <v>2.9999999999999997E-4</v>
      </c>
      <c r="AE594" s="103" t="s">
        <v>213</v>
      </c>
      <c r="AF594" s="104" t="s">
        <v>62</v>
      </c>
      <c r="AG594" s="105">
        <f>ROUND(((X594*F589/3600)),4)</f>
        <v>8.9999999999999998E-4</v>
      </c>
      <c r="AH594" s="105">
        <f>AB594+AC594+AD594</f>
        <v>4.2999999999999999E-4</v>
      </c>
      <c r="AI594" s="61">
        <f>SUM(AG589:AG594)</f>
        <v>6.4899999999999999E-2</v>
      </c>
      <c r="AJ594" s="61">
        <f>SUM(AH589:AH594)</f>
        <v>3.3920000000000006E-2</v>
      </c>
    </row>
    <row r="595" spans="1:36" ht="12.95" customHeight="1" x14ac:dyDescent="0.25">
      <c r="A595" s="1518" t="s">
        <v>717</v>
      </c>
      <c r="B595" s="1519"/>
      <c r="C595" s="1519"/>
      <c r="D595" s="1519"/>
      <c r="E595" s="1519"/>
      <c r="F595" s="1519"/>
      <c r="G595" s="1519"/>
      <c r="H595" s="1519"/>
      <c r="I595" s="1519"/>
      <c r="J595" s="1519"/>
      <c r="K595" s="1519"/>
      <c r="L595" s="1519"/>
      <c r="M595" s="1519"/>
      <c r="N595" s="1519"/>
      <c r="O595" s="1519"/>
      <c r="P595" s="1519"/>
      <c r="Q595" s="1519"/>
      <c r="R595" s="1519"/>
      <c r="S595" s="1519"/>
      <c r="T595" s="1520"/>
      <c r="U595" s="1520"/>
      <c r="V595" s="1519"/>
      <c r="W595" s="1519"/>
      <c r="X595" s="1519"/>
      <c r="Y595" s="1519"/>
      <c r="Z595" s="1519"/>
      <c r="AA595" s="1519"/>
      <c r="AB595" s="1519"/>
      <c r="AC595" s="1519"/>
      <c r="AD595" s="1519"/>
      <c r="AE595" s="1519"/>
      <c r="AF595" s="1519"/>
      <c r="AG595" s="1519"/>
      <c r="AH595" s="1521"/>
    </row>
    <row r="596" spans="1:36" ht="12.95" customHeight="1" x14ac:dyDescent="0.25">
      <c r="A596" s="574" t="s">
        <v>1022</v>
      </c>
      <c r="B596" s="93" t="s">
        <v>211</v>
      </c>
      <c r="C596" s="1109" t="s">
        <v>444</v>
      </c>
      <c r="D596" s="97">
        <v>1</v>
      </c>
      <c r="E596" s="97">
        <v>1</v>
      </c>
      <c r="F596" s="97">
        <v>1</v>
      </c>
      <c r="G596" s="97">
        <v>1</v>
      </c>
      <c r="H596" s="97">
        <f>ROUND((F596/G596),2)</f>
        <v>1</v>
      </c>
      <c r="I596" s="97">
        <v>180</v>
      </c>
      <c r="J596" s="97">
        <v>90</v>
      </c>
      <c r="K596" s="98">
        <v>95</v>
      </c>
      <c r="L596" s="98">
        <v>0.01</v>
      </c>
      <c r="M596" s="98">
        <v>0.01</v>
      </c>
      <c r="N596" s="97">
        <v>4</v>
      </c>
      <c r="O596" s="97">
        <v>6</v>
      </c>
      <c r="P596" s="97">
        <v>20</v>
      </c>
      <c r="Q596" s="97">
        <v>1</v>
      </c>
      <c r="R596" s="96">
        <v>1</v>
      </c>
      <c r="S596" s="97">
        <v>2</v>
      </c>
      <c r="T596" s="96">
        <v>4</v>
      </c>
      <c r="U596" s="96">
        <v>4</v>
      </c>
      <c r="V596" s="108">
        <f>ROUND((R596*N596+T596*L596+Q596*D596),4)</f>
        <v>5.04</v>
      </c>
      <c r="W596" s="109">
        <f>ROUND((S596*O596+U596*L596+Q596*D596),4)</f>
        <v>13.04</v>
      </c>
      <c r="X596" s="109">
        <f>ROUND((S596*P596+U596*L596+Q596*D596),4)</f>
        <v>41.04</v>
      </c>
      <c r="Y596" s="109">
        <f>ROUND((T596*M596+Q596*E596),4)</f>
        <v>1.04</v>
      </c>
      <c r="Z596" s="109">
        <f>ROUND((U596*M596+Q596*E596),4)</f>
        <v>1.04</v>
      </c>
      <c r="AA596" s="109">
        <f>ROUND((U596*M596+Q596*E596),4)</f>
        <v>1.04</v>
      </c>
      <c r="AB596" s="109">
        <f>ROUND((H596*(V596+Y596)*G596*I596/1000000),4)</f>
        <v>1.1000000000000001E-3</v>
      </c>
      <c r="AC596" s="109">
        <f>ROUND((H596*(W596+Z596)*G596*J596/1000000),4)</f>
        <v>1.2999999999999999E-3</v>
      </c>
      <c r="AD596" s="109">
        <f>ROUND((H596*(X596+AA596)*G596*K596/1000000),4)</f>
        <v>4.0000000000000001E-3</v>
      </c>
      <c r="AE596" s="103" t="s">
        <v>48</v>
      </c>
      <c r="AF596" s="104" t="s">
        <v>49</v>
      </c>
      <c r="AG596" s="105">
        <f>ROUND(((X596*F596/3600)*0.8),4)</f>
        <v>9.1000000000000004E-3</v>
      </c>
      <c r="AH596" s="105">
        <f>ROUND(((AB596+AC596+AD596)*0.8),4)</f>
        <v>5.1000000000000004E-3</v>
      </c>
    </row>
    <row r="597" spans="1:36" ht="12.95" customHeight="1" x14ac:dyDescent="0.25">
      <c r="A597" s="575" t="s">
        <v>150</v>
      </c>
      <c r="B597" s="94" t="s">
        <v>212</v>
      </c>
      <c r="C597" s="1110"/>
      <c r="D597" s="94"/>
      <c r="E597" s="94"/>
      <c r="F597" s="94"/>
      <c r="G597" s="94"/>
      <c r="H597" s="94"/>
      <c r="I597" s="94"/>
      <c r="J597" s="94"/>
      <c r="K597" s="94"/>
      <c r="L597" s="99"/>
      <c r="M597" s="99"/>
      <c r="N597" s="94"/>
      <c r="O597" s="94"/>
      <c r="P597" s="94"/>
      <c r="Q597" s="101"/>
      <c r="R597" s="101"/>
      <c r="S597" s="102"/>
      <c r="T597" s="101"/>
      <c r="U597" s="101"/>
      <c r="V597" s="110"/>
      <c r="W597" s="111"/>
      <c r="X597" s="111"/>
      <c r="Y597" s="111"/>
      <c r="Z597" s="111"/>
      <c r="AA597" s="111"/>
      <c r="AB597" s="111"/>
      <c r="AC597" s="111"/>
      <c r="AD597" s="111"/>
      <c r="AE597" s="103" t="s">
        <v>51</v>
      </c>
      <c r="AF597" s="104" t="s">
        <v>52</v>
      </c>
      <c r="AG597" s="105">
        <f>ROUND(((X596*F596/3600)*0.13),4)</f>
        <v>1.5E-3</v>
      </c>
      <c r="AH597" s="105">
        <f>ROUND(((AB596+AC596+AD596)*0.13),4)</f>
        <v>8.0000000000000004E-4</v>
      </c>
    </row>
    <row r="598" spans="1:36" ht="12.95" customHeight="1" x14ac:dyDescent="0.25">
      <c r="A598" s="576"/>
      <c r="B598" s="95" t="s">
        <v>491</v>
      </c>
      <c r="C598" s="95"/>
      <c r="D598" s="94"/>
      <c r="E598" s="94"/>
      <c r="F598" s="94"/>
      <c r="G598" s="94"/>
      <c r="H598" s="94"/>
      <c r="I598" s="94"/>
      <c r="J598" s="94"/>
      <c r="K598" s="94"/>
      <c r="L598" s="99"/>
      <c r="M598" s="99"/>
      <c r="N598" s="94"/>
      <c r="O598" s="94"/>
      <c r="P598" s="94"/>
      <c r="Q598" s="105">
        <v>0.1</v>
      </c>
      <c r="R598" s="106">
        <v>0.113</v>
      </c>
      <c r="S598" s="107">
        <v>0.13600000000000001</v>
      </c>
      <c r="T598" s="106">
        <v>0.54</v>
      </c>
      <c r="U598" s="106">
        <v>0.67</v>
      </c>
      <c r="V598" s="108">
        <f>ROUND((R598*N596+T598*L596+Q598*D596),4)</f>
        <v>0.55740000000000001</v>
      </c>
      <c r="W598" s="109">
        <f>ROUND((S598*0.9*O596+U598*0.9*L596+Q598*D596),4)</f>
        <v>0.84040000000000004</v>
      </c>
      <c r="X598" s="109">
        <f>ROUND((S598*P596+U598*L596+Q598*D596),4)</f>
        <v>2.8267000000000002</v>
      </c>
      <c r="Y598" s="109">
        <f>ROUND((T598*M596+Q598*E596),4)</f>
        <v>0.10539999999999999</v>
      </c>
      <c r="Z598" s="109">
        <f>ROUND((U598*0.9*M596+Q598*E596),4)</f>
        <v>0.106</v>
      </c>
      <c r="AA598" s="109">
        <f>ROUND((U598*M596+Q598*E596),4)</f>
        <v>0.1067</v>
      </c>
      <c r="AB598" s="109">
        <f>ROUND((H596*(V598+Y598)*G596*I596/1000000),5)</f>
        <v>1.2E-4</v>
      </c>
      <c r="AC598" s="109">
        <f>ROUND((H596*(W598+Z598)*G596*J596/1000000),5)</f>
        <v>9.0000000000000006E-5</v>
      </c>
      <c r="AD598" s="109">
        <f>ROUND((H596*(X598+AA598)*G596*K596/1000000),5)</f>
        <v>2.7999999999999998E-4</v>
      </c>
      <c r="AE598" s="103" t="s">
        <v>56</v>
      </c>
      <c r="AF598" s="104" t="s">
        <v>57</v>
      </c>
      <c r="AG598" s="105">
        <f>ROUND(((X598*F596/3600)),4)</f>
        <v>8.0000000000000004E-4</v>
      </c>
      <c r="AH598" s="105">
        <f>AB598+AC598+AD598</f>
        <v>4.8999999999999998E-4</v>
      </c>
    </row>
    <row r="599" spans="1:36" ht="12.95" customHeight="1" x14ac:dyDescent="0.25">
      <c r="A599" s="576"/>
      <c r="B599" s="166"/>
      <c r="C599" s="94"/>
      <c r="D599" s="94"/>
      <c r="E599" s="94"/>
      <c r="F599" s="94"/>
      <c r="G599" s="94"/>
      <c r="H599" s="94"/>
      <c r="I599" s="94"/>
      <c r="J599" s="94"/>
      <c r="K599" s="94"/>
      <c r="L599" s="99"/>
      <c r="M599" s="99"/>
      <c r="N599" s="94"/>
      <c r="O599" s="94"/>
      <c r="P599" s="94"/>
      <c r="Q599" s="105">
        <v>0.45</v>
      </c>
      <c r="R599" s="106">
        <v>0.4</v>
      </c>
      <c r="S599" s="105">
        <v>1.1000000000000001</v>
      </c>
      <c r="T599" s="106">
        <v>1</v>
      </c>
      <c r="U599" s="106">
        <v>1.2</v>
      </c>
      <c r="V599" s="108">
        <f>ROUND((R599*N596+T599*L596+Q599*D596),4)</f>
        <v>2.06</v>
      </c>
      <c r="W599" s="109">
        <f>ROUND((S599*0.9*O596+U599*0.9*L596+Q599*D596),4)</f>
        <v>6.4008000000000003</v>
      </c>
      <c r="X599" s="109">
        <f>ROUND((S599*P596+U599*L596+Q599*D596),4)</f>
        <v>22.462</v>
      </c>
      <c r="Y599" s="109">
        <f>ROUND((T599*M596+Q599*E596),4)</f>
        <v>0.46</v>
      </c>
      <c r="Z599" s="109">
        <f>ROUND((U599*0.9*M596+Q599*E596),4)</f>
        <v>0.46079999999999999</v>
      </c>
      <c r="AA599" s="109">
        <f>ROUND((U599*M596+Q599*E596),4)</f>
        <v>0.46200000000000002</v>
      </c>
      <c r="AB599" s="109">
        <f>ROUND((H596*(V599+Y599)*G596*I596/1000000),4)</f>
        <v>5.0000000000000001E-4</v>
      </c>
      <c r="AC599" s="109">
        <f>ROUND((H596*(W599+Z599)*G596*J596/1000000),4)</f>
        <v>5.9999999999999995E-4</v>
      </c>
      <c r="AD599" s="109">
        <f>ROUND((H596*(X599+AA599)*G596*K596/1000000),4)</f>
        <v>2.2000000000000001E-3</v>
      </c>
      <c r="AE599" s="103" t="s">
        <v>177</v>
      </c>
      <c r="AF599" s="104" t="s">
        <v>178</v>
      </c>
      <c r="AG599" s="105">
        <f>ROUND(((X599*F596/3600)),4)</f>
        <v>6.1999999999999998E-3</v>
      </c>
      <c r="AH599" s="105">
        <f>AB599+AC599+AD599</f>
        <v>3.3E-3</v>
      </c>
    </row>
    <row r="600" spans="1:36" ht="12.95" customHeight="1" x14ac:dyDescent="0.25">
      <c r="A600" s="577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9"/>
      <c r="M600" s="99"/>
      <c r="N600" s="94"/>
      <c r="O600" s="94"/>
      <c r="P600" s="94"/>
      <c r="Q600" s="105">
        <v>2.9</v>
      </c>
      <c r="R600" s="106">
        <v>3</v>
      </c>
      <c r="S600" s="105">
        <v>8.1999999999999993</v>
      </c>
      <c r="T600" s="106">
        <v>6.1</v>
      </c>
      <c r="U600" s="106">
        <v>7.4</v>
      </c>
      <c r="V600" s="167">
        <f>ROUND((R600*N596+T600*L596+Q600*D596),4)</f>
        <v>14.961</v>
      </c>
      <c r="W600" s="168">
        <f>ROUND((S600*0.9*O596+U600*0.9*L596+Q600*D596),4)</f>
        <v>47.246600000000001</v>
      </c>
      <c r="X600" s="168">
        <f>ROUND((S600*P596+U600*L596+Q600*D596),4)</f>
        <v>166.97399999999999</v>
      </c>
      <c r="Y600" s="168">
        <f>ROUND((T600*M596+Q600*E596),4)</f>
        <v>2.9609999999999999</v>
      </c>
      <c r="Z600" s="168">
        <f>ROUND((U600*0.9*M596+Q600*E596),4)</f>
        <v>2.9666000000000001</v>
      </c>
      <c r="AA600" s="168">
        <f>ROUND((U600*M596+Q600*E596),4)</f>
        <v>2.9740000000000002</v>
      </c>
      <c r="AB600" s="168">
        <f>ROUND((H596*(V600+Y600)*G596*I596/1000000),4)</f>
        <v>3.2000000000000002E-3</v>
      </c>
      <c r="AC600" s="168">
        <f>ROUND((H596*(W600+Z600)*G596*J596/1000000),4)</f>
        <v>4.4999999999999997E-3</v>
      </c>
      <c r="AD600" s="168">
        <f>ROUND((H596*(X600+AA600)*G596*K596/1000000),4)</f>
        <v>1.61E-2</v>
      </c>
      <c r="AE600" s="103" t="s">
        <v>65</v>
      </c>
      <c r="AF600" s="104" t="s">
        <v>66</v>
      </c>
      <c r="AG600" s="105">
        <f>ROUND(((X600*F596/3600)),4)</f>
        <v>4.6399999999999997E-2</v>
      </c>
      <c r="AH600" s="105">
        <f>AB600+AC600+AD600</f>
        <v>2.3800000000000002E-2</v>
      </c>
    </row>
    <row r="601" spans="1:36" ht="12.95" customHeight="1" x14ac:dyDescent="0.25">
      <c r="A601" s="581"/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  <c r="L601" s="102"/>
      <c r="M601" s="102"/>
      <c r="N601" s="101"/>
      <c r="O601" s="101"/>
      <c r="P601" s="101"/>
      <c r="Q601" s="105">
        <v>0.04</v>
      </c>
      <c r="R601" s="106">
        <v>0.04</v>
      </c>
      <c r="S601" s="105">
        <v>0.16</v>
      </c>
      <c r="T601" s="106">
        <v>0.3</v>
      </c>
      <c r="U601" s="106">
        <v>0.4</v>
      </c>
      <c r="V601" s="167">
        <f>ROUND((R601*N596+T601*L596+Q601*D596),4)</f>
        <v>0.20300000000000001</v>
      </c>
      <c r="W601" s="168">
        <f>ROUND((S601*0.9*O596+U601*0.9*L596+Q601*D596),4)</f>
        <v>0.90759999999999996</v>
      </c>
      <c r="X601" s="168">
        <f>ROUND((S601*P596+U601*L596+Q601*D596),4)</f>
        <v>3.2440000000000002</v>
      </c>
      <c r="Y601" s="168">
        <f>ROUND((T601*M596+Q601*E596),4)</f>
        <v>4.2999999999999997E-2</v>
      </c>
      <c r="Z601" s="168">
        <f>ROUND((U601*0.9*M596+Q601*E596),4)</f>
        <v>4.36E-2</v>
      </c>
      <c r="AA601" s="168">
        <f>ROUND((U601*M596+Q601*E596),4)</f>
        <v>4.3999999999999997E-2</v>
      </c>
      <c r="AB601" s="168">
        <f>ROUND((H596*(V601+Y601)*G596*I596/1000000),5)</f>
        <v>4.0000000000000003E-5</v>
      </c>
      <c r="AC601" s="168">
        <f>ROUND((H596*(W601+Z601)*G596*J596/1000000),5)</f>
        <v>9.0000000000000006E-5</v>
      </c>
      <c r="AD601" s="168">
        <f>ROUND((H596*(X601+AA601)*G596*K596/1000000),4)</f>
        <v>2.9999999999999997E-4</v>
      </c>
      <c r="AE601" s="103" t="s">
        <v>213</v>
      </c>
      <c r="AF601" s="104" t="s">
        <v>62</v>
      </c>
      <c r="AG601" s="105">
        <f>ROUND(((X601*F596/3600)),4)</f>
        <v>8.9999999999999998E-4</v>
      </c>
      <c r="AH601" s="105">
        <f>AB601+AC601+AD601</f>
        <v>4.2999999999999999E-4</v>
      </c>
      <c r="AI601" s="61">
        <f>SUM(AG596:AG601)</f>
        <v>6.4899999999999999E-2</v>
      </c>
      <c r="AJ601" s="61">
        <f>SUM(AH596:AH601)</f>
        <v>3.3920000000000006E-2</v>
      </c>
    </row>
    <row r="602" spans="1:36" ht="12.95" customHeight="1" x14ac:dyDescent="0.25">
      <c r="A602" s="1518" t="s">
        <v>718</v>
      </c>
      <c r="B602" s="1519"/>
      <c r="C602" s="1519"/>
      <c r="D602" s="1519"/>
      <c r="E602" s="1519"/>
      <c r="F602" s="1519"/>
      <c r="G602" s="1519"/>
      <c r="H602" s="1519"/>
      <c r="I602" s="1519"/>
      <c r="J602" s="1519"/>
      <c r="K602" s="1519"/>
      <c r="L602" s="1519"/>
      <c r="M602" s="1519"/>
      <c r="N602" s="1519"/>
      <c r="O602" s="1519"/>
      <c r="P602" s="1519"/>
      <c r="Q602" s="1519"/>
      <c r="R602" s="1519"/>
      <c r="S602" s="1519"/>
      <c r="T602" s="1520"/>
      <c r="U602" s="1520"/>
      <c r="V602" s="1519"/>
      <c r="W602" s="1519"/>
      <c r="X602" s="1519"/>
      <c r="Y602" s="1519"/>
      <c r="Z602" s="1519"/>
      <c r="AA602" s="1519"/>
      <c r="AB602" s="1519"/>
      <c r="AC602" s="1519"/>
      <c r="AD602" s="1519"/>
      <c r="AE602" s="1519"/>
      <c r="AF602" s="1519"/>
      <c r="AG602" s="1519"/>
      <c r="AH602" s="1521"/>
    </row>
    <row r="603" spans="1:36" ht="12.95" customHeight="1" x14ac:dyDescent="0.25">
      <c r="A603" s="574" t="s">
        <v>1023</v>
      </c>
      <c r="B603" s="93" t="s">
        <v>211</v>
      </c>
      <c r="C603" s="1109" t="s">
        <v>444</v>
      </c>
      <c r="D603" s="97">
        <v>1</v>
      </c>
      <c r="E603" s="97">
        <v>1</v>
      </c>
      <c r="F603" s="97">
        <v>1</v>
      </c>
      <c r="G603" s="97">
        <v>1</v>
      </c>
      <c r="H603" s="97">
        <f>ROUND((F603/G603),2)</f>
        <v>1</v>
      </c>
      <c r="I603" s="97">
        <v>173</v>
      </c>
      <c r="J603" s="97">
        <v>0</v>
      </c>
      <c r="K603" s="98">
        <v>0</v>
      </c>
      <c r="L603" s="98">
        <v>0.01</v>
      </c>
      <c r="M603" s="98">
        <v>0.01</v>
      </c>
      <c r="N603" s="97">
        <v>4</v>
      </c>
      <c r="O603" s="97">
        <v>6</v>
      </c>
      <c r="P603" s="97">
        <v>20</v>
      </c>
      <c r="Q603" s="97">
        <v>1</v>
      </c>
      <c r="R603" s="96">
        <v>1</v>
      </c>
      <c r="S603" s="97">
        <v>2</v>
      </c>
      <c r="T603" s="96">
        <v>4</v>
      </c>
      <c r="U603" s="96">
        <v>4</v>
      </c>
      <c r="V603" s="108">
        <f>ROUND((R603*N603+T603*L603+Q603*D603),4)</f>
        <v>5.04</v>
      </c>
      <c r="W603" s="109">
        <f>ROUND((S603*O603+U603*L603+Q603*D603),4)</f>
        <v>13.04</v>
      </c>
      <c r="X603" s="109">
        <f>ROUND((S603*P603+U603*L603+Q603*D603),4)</f>
        <v>41.04</v>
      </c>
      <c r="Y603" s="109">
        <f>ROUND((T603*M603+Q603*E603),4)</f>
        <v>1.04</v>
      </c>
      <c r="Z603" s="109">
        <f>ROUND((U603*M603+Q603*E603),4)</f>
        <v>1.04</v>
      </c>
      <c r="AA603" s="109">
        <f>ROUND((U603*M603+Q603*E603),4)</f>
        <v>1.04</v>
      </c>
      <c r="AB603" s="109">
        <f>ROUND((H603*(V603+Y603)*G603*I603/1000000),4)</f>
        <v>1.1000000000000001E-3</v>
      </c>
      <c r="AC603" s="109">
        <f>ROUND((H603*(W603+Z603)*G603*J603/1000000),4)</f>
        <v>0</v>
      </c>
      <c r="AD603" s="109">
        <f>ROUND((H603*(X603+AA603)*G603*K603/1000000),4)</f>
        <v>0</v>
      </c>
      <c r="AE603" s="103" t="s">
        <v>48</v>
      </c>
      <c r="AF603" s="104" t="s">
        <v>49</v>
      </c>
      <c r="AG603" s="105">
        <f>ROUND(((X603*F603/3600)*0.8),4)</f>
        <v>9.1000000000000004E-3</v>
      </c>
      <c r="AH603" s="105">
        <f>ROUND(((AB603+AC603+AD603)*0.8),4)</f>
        <v>8.9999999999999998E-4</v>
      </c>
    </row>
    <row r="604" spans="1:36" ht="12.95" customHeight="1" x14ac:dyDescent="0.25">
      <c r="A604" s="575" t="s">
        <v>150</v>
      </c>
      <c r="B604" s="94" t="s">
        <v>212</v>
      </c>
      <c r="C604" s="1110"/>
      <c r="D604" s="94"/>
      <c r="E604" s="94"/>
      <c r="F604" s="94"/>
      <c r="G604" s="94"/>
      <c r="H604" s="94"/>
      <c r="I604" s="94"/>
      <c r="J604" s="94"/>
      <c r="K604" s="94"/>
      <c r="L604" s="99"/>
      <c r="M604" s="99"/>
      <c r="N604" s="94"/>
      <c r="O604" s="94"/>
      <c r="P604" s="94"/>
      <c r="Q604" s="101"/>
      <c r="R604" s="101"/>
      <c r="S604" s="102"/>
      <c r="T604" s="101"/>
      <c r="U604" s="101"/>
      <c r="V604" s="110"/>
      <c r="W604" s="111"/>
      <c r="X604" s="111"/>
      <c r="Y604" s="111"/>
      <c r="Z604" s="111"/>
      <c r="AA604" s="111"/>
      <c r="AB604" s="111"/>
      <c r="AC604" s="111"/>
      <c r="AD604" s="111"/>
      <c r="AE604" s="103" t="s">
        <v>51</v>
      </c>
      <c r="AF604" s="104" t="s">
        <v>52</v>
      </c>
      <c r="AG604" s="105">
        <f>ROUND(((X603*F603/3600)*0.13),4)</f>
        <v>1.5E-3</v>
      </c>
      <c r="AH604" s="105">
        <f>ROUND(((AB603+AC603+AD603)*0.13),4)</f>
        <v>1E-4</v>
      </c>
    </row>
    <row r="605" spans="1:36" ht="12.95" customHeight="1" x14ac:dyDescent="0.25">
      <c r="A605" s="576"/>
      <c r="B605" s="95" t="s">
        <v>491</v>
      </c>
      <c r="C605" s="95"/>
      <c r="D605" s="94"/>
      <c r="E605" s="94"/>
      <c r="F605" s="94"/>
      <c r="G605" s="94"/>
      <c r="H605" s="94"/>
      <c r="I605" s="94"/>
      <c r="J605" s="94"/>
      <c r="K605" s="94"/>
      <c r="L605" s="99"/>
      <c r="M605" s="99"/>
      <c r="N605" s="94"/>
      <c r="O605" s="94"/>
      <c r="P605" s="94"/>
      <c r="Q605" s="105">
        <v>0.1</v>
      </c>
      <c r="R605" s="106">
        <v>0.113</v>
      </c>
      <c r="S605" s="107">
        <v>0.13600000000000001</v>
      </c>
      <c r="T605" s="106">
        <v>0.54</v>
      </c>
      <c r="U605" s="106">
        <v>0.67</v>
      </c>
      <c r="V605" s="108">
        <f>ROUND((R605*N603+T605*L603+Q605*D603),4)</f>
        <v>0.55740000000000001</v>
      </c>
      <c r="W605" s="109">
        <f>ROUND((S605*0.9*O603+U605*0.9*L603+Q605*D603),4)</f>
        <v>0.84040000000000004</v>
      </c>
      <c r="X605" s="109">
        <f>ROUND((S605*P603+U605*L603+Q605*D603),4)</f>
        <v>2.8267000000000002</v>
      </c>
      <c r="Y605" s="109">
        <f>ROUND((T605*M603+Q605*E603),4)</f>
        <v>0.10539999999999999</v>
      </c>
      <c r="Z605" s="109">
        <f>ROUND((U605*0.9*M603+Q605*E603),4)</f>
        <v>0.106</v>
      </c>
      <c r="AA605" s="109">
        <f>ROUND((U605*M603+Q605*E603),4)</f>
        <v>0.1067</v>
      </c>
      <c r="AB605" s="109">
        <f>ROUND((H603*(V605+Y605)*G603*I603/1000000),5)</f>
        <v>1.1E-4</v>
      </c>
      <c r="AC605" s="109">
        <f>ROUND((H603*(W605+Z605)*G603*J603/1000000),5)</f>
        <v>0</v>
      </c>
      <c r="AD605" s="109">
        <f>ROUND((H603*(X605+AA605)*G603*K603/1000000),5)</f>
        <v>0</v>
      </c>
      <c r="AE605" s="103" t="s">
        <v>56</v>
      </c>
      <c r="AF605" s="104" t="s">
        <v>57</v>
      </c>
      <c r="AG605" s="105">
        <f>ROUND(((X605*F603/3600)),4)</f>
        <v>8.0000000000000004E-4</v>
      </c>
      <c r="AH605" s="105">
        <f>AB605+AC605+AD605</f>
        <v>1.1E-4</v>
      </c>
    </row>
    <row r="606" spans="1:36" ht="12.95" customHeight="1" x14ac:dyDescent="0.25">
      <c r="A606" s="576"/>
      <c r="B606" s="166"/>
      <c r="C606" s="94"/>
      <c r="D606" s="94"/>
      <c r="E606" s="94"/>
      <c r="F606" s="94"/>
      <c r="G606" s="94"/>
      <c r="H606" s="94"/>
      <c r="I606" s="94"/>
      <c r="J606" s="94"/>
      <c r="K606" s="94"/>
      <c r="L606" s="99"/>
      <c r="M606" s="99"/>
      <c r="N606" s="94"/>
      <c r="O606" s="94"/>
      <c r="P606" s="94"/>
      <c r="Q606" s="105">
        <v>0.45</v>
      </c>
      <c r="R606" s="106">
        <v>0.4</v>
      </c>
      <c r="S606" s="105">
        <v>1.1000000000000001</v>
      </c>
      <c r="T606" s="106">
        <v>1</v>
      </c>
      <c r="U606" s="106">
        <v>1.2</v>
      </c>
      <c r="V606" s="108">
        <f>ROUND((R606*N603+T606*L603+Q606*D603),4)</f>
        <v>2.06</v>
      </c>
      <c r="W606" s="109">
        <f>ROUND((S606*0.9*O603+U606*0.9*L603+Q606*D603),4)</f>
        <v>6.4008000000000003</v>
      </c>
      <c r="X606" s="109">
        <f>ROUND((S606*P603+U606*L603+Q606*D603),4)</f>
        <v>22.462</v>
      </c>
      <c r="Y606" s="109">
        <f>ROUND((T606*M603+Q606*E603),4)</f>
        <v>0.46</v>
      </c>
      <c r="Z606" s="109">
        <f>ROUND((U606*0.9*M603+Q606*E603),4)</f>
        <v>0.46079999999999999</v>
      </c>
      <c r="AA606" s="109">
        <f>ROUND((U606*M603+Q606*E603),4)</f>
        <v>0.46200000000000002</v>
      </c>
      <c r="AB606" s="109">
        <f>ROUND((H603*(V606+Y606)*G603*I603/1000000),4)</f>
        <v>4.0000000000000002E-4</v>
      </c>
      <c r="AC606" s="109">
        <f>ROUND((H603*(W606+Z606)*G603*J603/1000000),4)</f>
        <v>0</v>
      </c>
      <c r="AD606" s="109">
        <f>ROUND((H603*(X606+AA606)*G603*K603/1000000),4)</f>
        <v>0</v>
      </c>
      <c r="AE606" s="103" t="s">
        <v>177</v>
      </c>
      <c r="AF606" s="104" t="s">
        <v>178</v>
      </c>
      <c r="AG606" s="105">
        <f>ROUND(((X606*F603/3600)),4)</f>
        <v>6.1999999999999998E-3</v>
      </c>
      <c r="AH606" s="105">
        <f>AB606+AC606+AD606</f>
        <v>4.0000000000000002E-4</v>
      </c>
    </row>
    <row r="607" spans="1:36" ht="12.95" customHeight="1" x14ac:dyDescent="0.25">
      <c r="A607" s="577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9"/>
      <c r="M607" s="99"/>
      <c r="N607" s="94"/>
      <c r="O607" s="94"/>
      <c r="P607" s="94"/>
      <c r="Q607" s="105">
        <v>2.9</v>
      </c>
      <c r="R607" s="106">
        <v>3</v>
      </c>
      <c r="S607" s="105">
        <v>8.1999999999999993</v>
      </c>
      <c r="T607" s="106">
        <v>6.1</v>
      </c>
      <c r="U607" s="106">
        <v>7.4</v>
      </c>
      <c r="V607" s="167">
        <f>ROUND((R607*N603+T607*L603+Q607*D603),4)</f>
        <v>14.961</v>
      </c>
      <c r="W607" s="168">
        <f>ROUND((S607*0.9*O603+U607*0.9*L603+Q607*D603),4)</f>
        <v>47.246600000000001</v>
      </c>
      <c r="X607" s="168">
        <f>ROUND((S607*P603+U607*L603+Q607*D603),4)</f>
        <v>166.97399999999999</v>
      </c>
      <c r="Y607" s="168">
        <f>ROUND((T607*M603+Q607*E603),4)</f>
        <v>2.9609999999999999</v>
      </c>
      <c r="Z607" s="168">
        <f>ROUND((U607*0.9*M603+Q607*E603),4)</f>
        <v>2.9666000000000001</v>
      </c>
      <c r="AA607" s="168">
        <f>ROUND((U607*M603+Q607*E603),4)</f>
        <v>2.9740000000000002</v>
      </c>
      <c r="AB607" s="168">
        <f>ROUND((H603*(V607+Y607)*G603*I603/1000000),4)</f>
        <v>3.0999999999999999E-3</v>
      </c>
      <c r="AC607" s="168">
        <f>ROUND((H603*(W607+Z607)*G603*J603/1000000),4)</f>
        <v>0</v>
      </c>
      <c r="AD607" s="168">
        <f>ROUND((H603*(X607+AA607)*G603*K603/1000000),4)</f>
        <v>0</v>
      </c>
      <c r="AE607" s="103" t="s">
        <v>65</v>
      </c>
      <c r="AF607" s="104" t="s">
        <v>66</v>
      </c>
      <c r="AG607" s="105">
        <f>ROUND(((X607*F603/3600)),4)</f>
        <v>4.6399999999999997E-2</v>
      </c>
      <c r="AH607" s="105">
        <f>AB607+AC607+AD607</f>
        <v>3.0999999999999999E-3</v>
      </c>
    </row>
    <row r="608" spans="1:36" ht="12.95" customHeight="1" x14ac:dyDescent="0.25">
      <c r="A608" s="581"/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  <c r="L608" s="102"/>
      <c r="M608" s="102"/>
      <c r="N608" s="101"/>
      <c r="O608" s="101"/>
      <c r="P608" s="101"/>
      <c r="Q608" s="105">
        <v>0.04</v>
      </c>
      <c r="R608" s="106">
        <v>0.04</v>
      </c>
      <c r="S608" s="105">
        <v>0.16</v>
      </c>
      <c r="T608" s="106">
        <v>0.3</v>
      </c>
      <c r="U608" s="106">
        <v>0.4</v>
      </c>
      <c r="V608" s="167">
        <f>ROUND((R608*N603+T608*L603+Q608*D603),4)</f>
        <v>0.20300000000000001</v>
      </c>
      <c r="W608" s="168">
        <f>ROUND((S608*0.9*O603+U608*0.9*L603+Q608*D603),4)</f>
        <v>0.90759999999999996</v>
      </c>
      <c r="X608" s="168">
        <f>ROUND((S608*P603+U608*L603+Q608*D603),4)</f>
        <v>3.2440000000000002</v>
      </c>
      <c r="Y608" s="168">
        <f>ROUND((T608*M603+Q608*E603),4)</f>
        <v>4.2999999999999997E-2</v>
      </c>
      <c r="Z608" s="168">
        <f>ROUND((U608*0.9*M603+Q608*E603),4)</f>
        <v>4.36E-2</v>
      </c>
      <c r="AA608" s="168">
        <f>ROUND((U608*M603+Q608*E603),4)</f>
        <v>4.3999999999999997E-2</v>
      </c>
      <c r="AB608" s="168">
        <f>ROUND((H603*(V608+Y608)*G603*I603/1000000),5)</f>
        <v>4.0000000000000003E-5</v>
      </c>
      <c r="AC608" s="168">
        <f>ROUND((H603*(W608+Z608)*G603*J603/1000000),5)</f>
        <v>0</v>
      </c>
      <c r="AD608" s="168">
        <f>ROUND((H603*(X608+AA608)*G603*K603/1000000),4)</f>
        <v>0</v>
      </c>
      <c r="AE608" s="103" t="s">
        <v>213</v>
      </c>
      <c r="AF608" s="104" t="s">
        <v>62</v>
      </c>
      <c r="AG608" s="105">
        <f>ROUND(((X608*F603/3600)),4)</f>
        <v>8.9999999999999998E-4</v>
      </c>
      <c r="AH608" s="105">
        <f>AB608+AC608+AD608</f>
        <v>4.0000000000000003E-5</v>
      </c>
      <c r="AI608" s="61">
        <f>SUM(AG603:AG608)</f>
        <v>6.4899999999999999E-2</v>
      </c>
      <c r="AJ608" s="61">
        <f>SUM(AH603:AH608)</f>
        <v>4.6499999999999996E-3</v>
      </c>
    </row>
    <row r="609" spans="1:38" ht="12.95" customHeight="1" x14ac:dyDescent="0.25">
      <c r="A609" s="1518" t="s">
        <v>719</v>
      </c>
      <c r="B609" s="1519"/>
      <c r="C609" s="1519"/>
      <c r="D609" s="1519"/>
      <c r="E609" s="1519"/>
      <c r="F609" s="1519"/>
      <c r="G609" s="1519"/>
      <c r="H609" s="1519"/>
      <c r="I609" s="1519"/>
      <c r="J609" s="1519"/>
      <c r="K609" s="1519"/>
      <c r="L609" s="1519"/>
      <c r="M609" s="1519"/>
      <c r="N609" s="1519"/>
      <c r="O609" s="1519"/>
      <c r="P609" s="1519"/>
      <c r="Q609" s="1519"/>
      <c r="R609" s="1519"/>
      <c r="S609" s="1519"/>
      <c r="T609" s="1520"/>
      <c r="U609" s="1520"/>
      <c r="V609" s="1519"/>
      <c r="W609" s="1519"/>
      <c r="X609" s="1519"/>
      <c r="Y609" s="1519"/>
      <c r="Z609" s="1519"/>
      <c r="AA609" s="1519"/>
      <c r="AB609" s="1519"/>
      <c r="AC609" s="1519"/>
      <c r="AD609" s="1519"/>
      <c r="AE609" s="1519"/>
      <c r="AF609" s="1519"/>
      <c r="AG609" s="1519"/>
      <c r="AH609" s="1521"/>
    </row>
    <row r="610" spans="1:38" ht="12.95" customHeight="1" x14ac:dyDescent="0.25">
      <c r="A610" s="574" t="s">
        <v>1024</v>
      </c>
      <c r="B610" s="93" t="s">
        <v>211</v>
      </c>
      <c r="C610" s="1109" t="s">
        <v>444</v>
      </c>
      <c r="D610" s="97">
        <v>1</v>
      </c>
      <c r="E610" s="97">
        <v>1</v>
      </c>
      <c r="F610" s="97">
        <v>1</v>
      </c>
      <c r="G610" s="97">
        <v>1</v>
      </c>
      <c r="H610" s="97">
        <f>ROUND((F610/G610),2)</f>
        <v>1</v>
      </c>
      <c r="I610" s="97">
        <v>173</v>
      </c>
      <c r="J610" s="97">
        <v>0</v>
      </c>
      <c r="K610" s="98">
        <v>0</v>
      </c>
      <c r="L610" s="98">
        <v>0.01</v>
      </c>
      <c r="M610" s="98">
        <v>0.01</v>
      </c>
      <c r="N610" s="97">
        <v>4</v>
      </c>
      <c r="O610" s="97">
        <v>6</v>
      </c>
      <c r="P610" s="97">
        <v>20</v>
      </c>
      <c r="Q610" s="97">
        <v>1</v>
      </c>
      <c r="R610" s="96">
        <v>1</v>
      </c>
      <c r="S610" s="97">
        <v>2</v>
      </c>
      <c r="T610" s="96">
        <v>4</v>
      </c>
      <c r="U610" s="96">
        <v>4</v>
      </c>
      <c r="V610" s="108">
        <f>ROUND((R610*N610+T610*L610+Q610*D610),4)</f>
        <v>5.04</v>
      </c>
      <c r="W610" s="109">
        <f>ROUND((S610*O610+U610*L610+Q610*D610),4)</f>
        <v>13.04</v>
      </c>
      <c r="X610" s="109">
        <f>ROUND((S610*P610+U610*L610+Q610*D610),4)</f>
        <v>41.04</v>
      </c>
      <c r="Y610" s="109">
        <f>ROUND((T610*M610+Q610*E610),4)</f>
        <v>1.04</v>
      </c>
      <c r="Z610" s="109">
        <f>ROUND((U610*M610+Q610*E610),4)</f>
        <v>1.04</v>
      </c>
      <c r="AA610" s="109">
        <f>ROUND((U610*M610+Q610*E610),4)</f>
        <v>1.04</v>
      </c>
      <c r="AB610" s="109">
        <f>ROUND((H610*(V610+Y610)*G610*I610/1000000),4)</f>
        <v>1.1000000000000001E-3</v>
      </c>
      <c r="AC610" s="109">
        <f>ROUND((H610*(W610+Z610)*G610*J610/1000000),4)</f>
        <v>0</v>
      </c>
      <c r="AD610" s="109">
        <f>ROUND((H610*(X610+AA610)*G610*K610/1000000),4)</f>
        <v>0</v>
      </c>
      <c r="AE610" s="103" t="s">
        <v>48</v>
      </c>
      <c r="AF610" s="104" t="s">
        <v>49</v>
      </c>
      <c r="AG610" s="105">
        <f>ROUND(((X610*F610/3600)*0.8),4)</f>
        <v>9.1000000000000004E-3</v>
      </c>
      <c r="AH610" s="105">
        <f>ROUND(((AB610+AC610+AD610)*0.8),4)</f>
        <v>8.9999999999999998E-4</v>
      </c>
    </row>
    <row r="611" spans="1:38" ht="12.95" customHeight="1" x14ac:dyDescent="0.25">
      <c r="A611" s="575" t="s">
        <v>150</v>
      </c>
      <c r="B611" s="94" t="s">
        <v>212</v>
      </c>
      <c r="C611" s="1110"/>
      <c r="D611" s="94"/>
      <c r="E611" s="94"/>
      <c r="F611" s="94"/>
      <c r="G611" s="94"/>
      <c r="H611" s="94"/>
      <c r="I611" s="94"/>
      <c r="J611" s="94"/>
      <c r="K611" s="94"/>
      <c r="L611" s="99"/>
      <c r="M611" s="99"/>
      <c r="N611" s="94"/>
      <c r="O611" s="94"/>
      <c r="P611" s="94"/>
      <c r="Q611" s="101"/>
      <c r="R611" s="101"/>
      <c r="S611" s="102"/>
      <c r="T611" s="101"/>
      <c r="U611" s="101"/>
      <c r="V611" s="110"/>
      <c r="W611" s="111"/>
      <c r="X611" s="111"/>
      <c r="Y611" s="111"/>
      <c r="Z611" s="111"/>
      <c r="AA611" s="111"/>
      <c r="AB611" s="111"/>
      <c r="AC611" s="111"/>
      <c r="AD611" s="111"/>
      <c r="AE611" s="103" t="s">
        <v>51</v>
      </c>
      <c r="AF611" s="104" t="s">
        <v>52</v>
      </c>
      <c r="AG611" s="105">
        <f>ROUND(((X610*F610/3600)*0.13),4)</f>
        <v>1.5E-3</v>
      </c>
      <c r="AH611" s="105">
        <f>ROUND(((AB610+AC610+AD610)*0.13),4)</f>
        <v>1E-4</v>
      </c>
    </row>
    <row r="612" spans="1:38" ht="12.95" customHeight="1" x14ac:dyDescent="0.25">
      <c r="A612" s="576"/>
      <c r="B612" s="95" t="s">
        <v>491</v>
      </c>
      <c r="C612" s="95"/>
      <c r="D612" s="94"/>
      <c r="E612" s="94"/>
      <c r="F612" s="94"/>
      <c r="G612" s="94"/>
      <c r="H612" s="94"/>
      <c r="I612" s="94"/>
      <c r="J612" s="94"/>
      <c r="K612" s="94"/>
      <c r="L612" s="99"/>
      <c r="M612" s="99"/>
      <c r="N612" s="94"/>
      <c r="O612" s="94"/>
      <c r="P612" s="94"/>
      <c r="Q612" s="105">
        <v>0.1</v>
      </c>
      <c r="R612" s="106">
        <v>0.113</v>
      </c>
      <c r="S612" s="107">
        <v>0.13600000000000001</v>
      </c>
      <c r="T612" s="106">
        <v>0.54</v>
      </c>
      <c r="U612" s="106">
        <v>0.67</v>
      </c>
      <c r="V612" s="108">
        <f>ROUND((R612*N610+T612*L610+Q612*D610),4)</f>
        <v>0.55740000000000001</v>
      </c>
      <c r="W612" s="109">
        <f>ROUND((S612*0.9*O610+U612*0.9*L610+Q612*D610),4)</f>
        <v>0.84040000000000004</v>
      </c>
      <c r="X612" s="109">
        <f>ROUND((S612*P610+U612*L610+Q612*D610),4)</f>
        <v>2.8267000000000002</v>
      </c>
      <c r="Y612" s="109">
        <f>ROUND((T612*M610+Q612*E610),4)</f>
        <v>0.10539999999999999</v>
      </c>
      <c r="Z612" s="109">
        <f>ROUND((U612*0.9*M610+Q612*E610),4)</f>
        <v>0.106</v>
      </c>
      <c r="AA612" s="109">
        <f>ROUND((U612*M610+Q612*E610),4)</f>
        <v>0.1067</v>
      </c>
      <c r="AB612" s="109">
        <f>ROUND((H610*(V612+Y612)*G610*I610/1000000),5)</f>
        <v>1.1E-4</v>
      </c>
      <c r="AC612" s="109">
        <f>ROUND((H610*(W612+Z612)*G610*J610/1000000),5)</f>
        <v>0</v>
      </c>
      <c r="AD612" s="109">
        <f>ROUND((H610*(X612+AA612)*G610*K610/1000000),5)</f>
        <v>0</v>
      </c>
      <c r="AE612" s="103" t="s">
        <v>56</v>
      </c>
      <c r="AF612" s="104" t="s">
        <v>57</v>
      </c>
      <c r="AG612" s="105">
        <f>ROUND(((X612*F610/3600)),4)</f>
        <v>8.0000000000000004E-4</v>
      </c>
      <c r="AH612" s="105">
        <f>AB612+AC612+AD612</f>
        <v>1.1E-4</v>
      </c>
    </row>
    <row r="613" spans="1:38" ht="12.95" customHeight="1" x14ac:dyDescent="0.25">
      <c r="A613" s="576"/>
      <c r="B613" s="166"/>
      <c r="C613" s="94"/>
      <c r="D613" s="94"/>
      <c r="E613" s="94"/>
      <c r="F613" s="94"/>
      <c r="G613" s="94"/>
      <c r="H613" s="94"/>
      <c r="I613" s="94"/>
      <c r="J613" s="94"/>
      <c r="K613" s="94"/>
      <c r="L613" s="99"/>
      <c r="M613" s="99"/>
      <c r="N613" s="94"/>
      <c r="O613" s="94"/>
      <c r="P613" s="94"/>
      <c r="Q613" s="105">
        <v>0.45</v>
      </c>
      <c r="R613" s="106">
        <v>0.4</v>
      </c>
      <c r="S613" s="105">
        <v>1.1000000000000001</v>
      </c>
      <c r="T613" s="106">
        <v>1</v>
      </c>
      <c r="U613" s="106">
        <v>1.2</v>
      </c>
      <c r="V613" s="108">
        <f>ROUND((R613*N610+T613*L610+Q613*D610),4)</f>
        <v>2.06</v>
      </c>
      <c r="W613" s="109">
        <f>ROUND((S613*0.9*O610+U613*0.9*L610+Q613*D610),4)</f>
        <v>6.4008000000000003</v>
      </c>
      <c r="X613" s="109">
        <f>ROUND((S613*P610+U613*L610+Q613*D610),4)</f>
        <v>22.462</v>
      </c>
      <c r="Y613" s="109">
        <f>ROUND((T613*M610+Q613*E610),4)</f>
        <v>0.46</v>
      </c>
      <c r="Z613" s="109">
        <f>ROUND((U613*0.9*M610+Q613*E610),4)</f>
        <v>0.46079999999999999</v>
      </c>
      <c r="AA613" s="109">
        <f>ROUND((U613*M610+Q613*E610),4)</f>
        <v>0.46200000000000002</v>
      </c>
      <c r="AB613" s="109">
        <f>ROUND((H610*(V613+Y613)*G610*I610/1000000),4)</f>
        <v>4.0000000000000002E-4</v>
      </c>
      <c r="AC613" s="109">
        <f>ROUND((H610*(W613+Z613)*G610*J610/1000000),4)</f>
        <v>0</v>
      </c>
      <c r="AD613" s="109">
        <f>ROUND((H610*(X613+AA613)*G610*K610/1000000),4)</f>
        <v>0</v>
      </c>
      <c r="AE613" s="103" t="s">
        <v>177</v>
      </c>
      <c r="AF613" s="104" t="s">
        <v>178</v>
      </c>
      <c r="AG613" s="105">
        <f>ROUND(((X613*F610/3600)),4)</f>
        <v>6.1999999999999998E-3</v>
      </c>
      <c r="AH613" s="105">
        <f>AB613+AC613+AD613</f>
        <v>4.0000000000000002E-4</v>
      </c>
    </row>
    <row r="614" spans="1:38" ht="12.95" customHeight="1" x14ac:dyDescent="0.25">
      <c r="A614" s="577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9"/>
      <c r="M614" s="99"/>
      <c r="N614" s="94"/>
      <c r="O614" s="94"/>
      <c r="P614" s="94"/>
      <c r="Q614" s="105">
        <v>2.9</v>
      </c>
      <c r="R614" s="106">
        <v>3</v>
      </c>
      <c r="S614" s="105">
        <v>8.1999999999999993</v>
      </c>
      <c r="T614" s="106">
        <v>6.1</v>
      </c>
      <c r="U614" s="106">
        <v>7.4</v>
      </c>
      <c r="V614" s="167">
        <f>ROUND((R614*N610+T614*L610+Q614*D610),4)</f>
        <v>14.961</v>
      </c>
      <c r="W614" s="168">
        <f>ROUND((S614*0.9*O610+U614*0.9*L610+Q614*D610),4)</f>
        <v>47.246600000000001</v>
      </c>
      <c r="X614" s="168">
        <f>ROUND((S614*P610+U614*L610+Q614*D610),4)</f>
        <v>166.97399999999999</v>
      </c>
      <c r="Y614" s="168">
        <f>ROUND((T614*M610+Q614*E610),4)</f>
        <v>2.9609999999999999</v>
      </c>
      <c r="Z614" s="168">
        <f>ROUND((U614*0.9*M610+Q614*E610),4)</f>
        <v>2.9666000000000001</v>
      </c>
      <c r="AA614" s="168">
        <f>ROUND((U614*M610+Q614*E610),4)</f>
        <v>2.9740000000000002</v>
      </c>
      <c r="AB614" s="168">
        <f>ROUND((H610*(V614+Y614)*G610*I610/1000000),4)</f>
        <v>3.0999999999999999E-3</v>
      </c>
      <c r="AC614" s="168">
        <f>ROUND((H610*(W614+Z614)*G610*J610/1000000),4)</f>
        <v>0</v>
      </c>
      <c r="AD614" s="168">
        <f>ROUND((H610*(X614+AA614)*G610*K610/1000000),4)</f>
        <v>0</v>
      </c>
      <c r="AE614" s="103" t="s">
        <v>65</v>
      </c>
      <c r="AF614" s="104" t="s">
        <v>66</v>
      </c>
      <c r="AG614" s="105">
        <f>ROUND(((X614*F610/3600)),4)</f>
        <v>4.6399999999999997E-2</v>
      </c>
      <c r="AH614" s="105">
        <f>AB614+AC614+AD614</f>
        <v>3.0999999999999999E-3</v>
      </c>
    </row>
    <row r="615" spans="1:38" ht="12.95" customHeight="1" x14ac:dyDescent="0.25">
      <c r="A615" s="581"/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  <c r="L615" s="102"/>
      <c r="M615" s="102"/>
      <c r="N615" s="101"/>
      <c r="O615" s="101"/>
      <c r="P615" s="101"/>
      <c r="Q615" s="105">
        <v>0.04</v>
      </c>
      <c r="R615" s="106">
        <v>0.04</v>
      </c>
      <c r="S615" s="105">
        <v>0.16</v>
      </c>
      <c r="T615" s="106">
        <v>0.3</v>
      </c>
      <c r="U615" s="106">
        <v>0.4</v>
      </c>
      <c r="V615" s="167">
        <f>ROUND((R615*N610+T615*L610+Q615*D610),4)</f>
        <v>0.20300000000000001</v>
      </c>
      <c r="W615" s="168">
        <f>ROUND((S615*0.9*O610+U615*0.9*L610+Q615*D610),4)</f>
        <v>0.90759999999999996</v>
      </c>
      <c r="X615" s="168">
        <f>ROUND((S615*P610+U615*L610+Q615*D610),4)</f>
        <v>3.2440000000000002</v>
      </c>
      <c r="Y615" s="168">
        <f>ROUND((T615*M610+Q615*E610),4)</f>
        <v>4.2999999999999997E-2</v>
      </c>
      <c r="Z615" s="168">
        <f>ROUND((U615*0.9*M610+Q615*E610),4)</f>
        <v>4.36E-2</v>
      </c>
      <c r="AA615" s="168">
        <f>ROUND((U615*M610+Q615*E610),4)</f>
        <v>4.3999999999999997E-2</v>
      </c>
      <c r="AB615" s="168">
        <f>ROUND((H610*(V615+Y615)*G610*I610/1000000),5)</f>
        <v>4.0000000000000003E-5</v>
      </c>
      <c r="AC615" s="168">
        <f>ROUND((H610*(W615+Z615)*G610*J610/1000000),5)</f>
        <v>0</v>
      </c>
      <c r="AD615" s="168">
        <f>ROUND((H610*(X615+AA615)*G610*K610/1000000),4)</f>
        <v>0</v>
      </c>
      <c r="AE615" s="103" t="s">
        <v>213</v>
      </c>
      <c r="AF615" s="104" t="s">
        <v>62</v>
      </c>
      <c r="AG615" s="105">
        <f>ROUND(((X615*F610/3600)),4)</f>
        <v>8.9999999999999998E-4</v>
      </c>
      <c r="AH615" s="105">
        <f>AB615+AC615+AD615</f>
        <v>4.0000000000000003E-5</v>
      </c>
      <c r="AI615" s="61">
        <f>SUM(AG610:AG615)</f>
        <v>6.4899999999999999E-2</v>
      </c>
      <c r="AJ615" s="61">
        <f>SUM(AH610:AH615)</f>
        <v>4.6499999999999996E-3</v>
      </c>
    </row>
    <row r="616" spans="1:38" ht="12.95" customHeight="1" x14ac:dyDescent="0.25">
      <c r="A616" s="1522" t="s">
        <v>1025</v>
      </c>
      <c r="B616" s="1523"/>
      <c r="C616" s="1523"/>
      <c r="D616" s="1523"/>
      <c r="E616" s="1523"/>
      <c r="F616" s="1523"/>
      <c r="G616" s="1523"/>
      <c r="H616" s="1523"/>
      <c r="I616" s="1523"/>
      <c r="J616" s="1523"/>
      <c r="K616" s="1523"/>
      <c r="L616" s="1523"/>
      <c r="M616" s="1523"/>
      <c r="N616" s="1523"/>
      <c r="O616" s="1523"/>
      <c r="P616" s="1523"/>
      <c r="Q616" s="1523"/>
      <c r="R616" s="1523"/>
      <c r="S616" s="1523"/>
      <c r="T616" s="1524"/>
      <c r="U616" s="1524"/>
      <c r="V616" s="1523"/>
      <c r="W616" s="1523"/>
      <c r="X616" s="1523"/>
      <c r="Y616" s="1523"/>
      <c r="Z616" s="1523"/>
      <c r="AA616" s="1523"/>
      <c r="AB616" s="1523"/>
      <c r="AC616" s="1523"/>
      <c r="AD616" s="1523"/>
      <c r="AE616" s="1523"/>
      <c r="AF616" s="1523"/>
      <c r="AG616" s="1523"/>
      <c r="AH616" s="1525"/>
    </row>
    <row r="617" spans="1:38" ht="12.95" customHeight="1" x14ac:dyDescent="0.25">
      <c r="A617" s="506" t="s">
        <v>1026</v>
      </c>
      <c r="B617" s="71" t="s">
        <v>211</v>
      </c>
      <c r="C617" s="1128" t="s">
        <v>298</v>
      </c>
      <c r="D617" s="65">
        <v>1</v>
      </c>
      <c r="E617" s="65">
        <v>1</v>
      </c>
      <c r="F617" s="65">
        <v>1</v>
      </c>
      <c r="G617" s="65">
        <v>1</v>
      </c>
      <c r="H617" s="65">
        <f>ROUND((F617/G617),2)</f>
        <v>1</v>
      </c>
      <c r="I617" s="65">
        <v>180</v>
      </c>
      <c r="J617" s="65">
        <v>90</v>
      </c>
      <c r="K617" s="66">
        <v>95</v>
      </c>
      <c r="L617" s="66">
        <v>0.01</v>
      </c>
      <c r="M617" s="66">
        <v>0.01</v>
      </c>
      <c r="N617" s="65">
        <v>4</v>
      </c>
      <c r="O617" s="65">
        <v>6</v>
      </c>
      <c r="P617" s="65">
        <v>20</v>
      </c>
      <c r="Q617" s="65">
        <v>1</v>
      </c>
      <c r="R617" s="72">
        <v>1</v>
      </c>
      <c r="S617" s="65">
        <v>2</v>
      </c>
      <c r="T617" s="72">
        <v>4.5</v>
      </c>
      <c r="U617" s="72">
        <v>4.5</v>
      </c>
      <c r="V617" s="108">
        <f>ROUND((R617*N617+T617*L617+Q617*D617),4)</f>
        <v>5.0449999999999999</v>
      </c>
      <c r="W617" s="109">
        <f>ROUND((S617*O617+U617*L617+Q617*D617),4)</f>
        <v>13.045</v>
      </c>
      <c r="X617" s="109">
        <f>ROUND((S617*P617+U617*L617+Q617*D617),4)</f>
        <v>41.045000000000002</v>
      </c>
      <c r="Y617" s="109">
        <f>ROUND((T617*M617+Q617*E617),4)</f>
        <v>1.0449999999999999</v>
      </c>
      <c r="Z617" s="109">
        <f>ROUND((U617*M617+Q617*E617),4)</f>
        <v>1.0449999999999999</v>
      </c>
      <c r="AA617" s="109">
        <f>ROUND((U617*M617+Q617*E617),4)</f>
        <v>1.0449999999999999</v>
      </c>
      <c r="AB617" s="109">
        <f>ROUND((H617*(V617+Y617)*G617*I617/1000000),4)</f>
        <v>1.1000000000000001E-3</v>
      </c>
      <c r="AC617" s="109">
        <f>ROUND((H617*(W617+Z617)*G617*J617/1000000),4)</f>
        <v>1.2999999999999999E-3</v>
      </c>
      <c r="AD617" s="109">
        <f>ROUND((H617*(X617+AA617)*G617*K617/1000000),4)</f>
        <v>4.0000000000000001E-3</v>
      </c>
      <c r="AE617" s="73" t="s">
        <v>48</v>
      </c>
      <c r="AF617" s="74" t="s">
        <v>49</v>
      </c>
      <c r="AG617" s="75">
        <f>ROUND(((X617*F617/3600)*0.8),4)</f>
        <v>9.1000000000000004E-3</v>
      </c>
      <c r="AH617" s="75">
        <f>ROUND(((AB617+AC617+AD617)*0.8),4)</f>
        <v>5.1000000000000004E-3</v>
      </c>
    </row>
    <row r="618" spans="1:38" ht="12.95" customHeight="1" x14ac:dyDescent="0.25">
      <c r="A618" s="570" t="s">
        <v>150</v>
      </c>
      <c r="B618" s="67" t="s">
        <v>212</v>
      </c>
      <c r="C618" s="1129"/>
      <c r="D618" s="67"/>
      <c r="E618" s="67"/>
      <c r="F618" s="67"/>
      <c r="G618" s="67"/>
      <c r="H618" s="67"/>
      <c r="I618" s="67"/>
      <c r="J618" s="67"/>
      <c r="K618" s="67"/>
      <c r="L618" s="68"/>
      <c r="M618" s="68"/>
      <c r="N618" s="67"/>
      <c r="O618" s="67"/>
      <c r="P618" s="67"/>
      <c r="Q618" s="69"/>
      <c r="R618" s="69"/>
      <c r="S618" s="70"/>
      <c r="T618" s="69"/>
      <c r="U618" s="69"/>
      <c r="V618" s="110"/>
      <c r="W618" s="111"/>
      <c r="X618" s="111"/>
      <c r="Y618" s="111"/>
      <c r="Z618" s="111"/>
      <c r="AA618" s="111"/>
      <c r="AB618" s="111"/>
      <c r="AC618" s="111"/>
      <c r="AD618" s="111"/>
      <c r="AE618" s="73" t="s">
        <v>51</v>
      </c>
      <c r="AF618" s="74" t="s">
        <v>52</v>
      </c>
      <c r="AG618" s="75">
        <f>ROUND(((X617*F617/3600)*0.13),4)</f>
        <v>1.5E-3</v>
      </c>
      <c r="AH618" s="75">
        <f>ROUND(((AB617+AC617+AD617)*0.13),4)</f>
        <v>8.0000000000000004E-4</v>
      </c>
    </row>
    <row r="619" spans="1:38" ht="12.95" customHeight="1" x14ac:dyDescent="0.25">
      <c r="A619" s="571"/>
      <c r="B619" s="76" t="s">
        <v>1027</v>
      </c>
      <c r="C619" s="76"/>
      <c r="D619" s="67"/>
      <c r="E619" s="67"/>
      <c r="F619" s="67"/>
      <c r="G619" s="67"/>
      <c r="H619" s="67"/>
      <c r="I619" s="67"/>
      <c r="J619" s="67"/>
      <c r="K619" s="67"/>
      <c r="L619" s="68"/>
      <c r="M619" s="68"/>
      <c r="N619" s="67"/>
      <c r="O619" s="67"/>
      <c r="P619" s="67"/>
      <c r="Q619" s="75">
        <v>0.1</v>
      </c>
      <c r="R619" s="78">
        <v>0.113</v>
      </c>
      <c r="S619" s="79">
        <v>0.13600000000000001</v>
      </c>
      <c r="T619" s="78">
        <v>0.78</v>
      </c>
      <c r="U619" s="78">
        <v>0.97</v>
      </c>
      <c r="V619" s="108">
        <f>ROUND((R619*N617+T619*L617+Q619*D617),4)</f>
        <v>0.55979999999999996</v>
      </c>
      <c r="W619" s="109">
        <f>ROUND((S619*0.9*O617+U619*0.9*L617+Q619*D617),4)</f>
        <v>0.84309999999999996</v>
      </c>
      <c r="X619" s="109">
        <f>ROUND((S619*P617+U619*L617+Q619*D617),4)</f>
        <v>2.8296999999999999</v>
      </c>
      <c r="Y619" s="109">
        <f>ROUND((T619*M617+Q619*E617),4)</f>
        <v>0.10780000000000001</v>
      </c>
      <c r="Z619" s="109">
        <f>ROUND((U619*0.9*M617+Q619*E617),4)</f>
        <v>0.1087</v>
      </c>
      <c r="AA619" s="109">
        <f>ROUND((U619*M617+Q619*E617),4)</f>
        <v>0.10970000000000001</v>
      </c>
      <c r="AB619" s="109">
        <f>ROUND((H617*(V619+Y619)*G617*I617/1000000),5)</f>
        <v>1.2E-4</v>
      </c>
      <c r="AC619" s="109">
        <f>ROUND((H617*(W619+Z619)*G617*J617/1000000),5)</f>
        <v>9.0000000000000006E-5</v>
      </c>
      <c r="AD619" s="109">
        <f>ROUND((H617*(X619+AA619)*G617*K617/1000000),5)</f>
        <v>2.7999999999999998E-4</v>
      </c>
      <c r="AE619" s="73" t="s">
        <v>56</v>
      </c>
      <c r="AF619" s="74" t="s">
        <v>57</v>
      </c>
      <c r="AG619" s="75">
        <f>ROUND(((X619*F617/3600)),4)</f>
        <v>8.0000000000000004E-4</v>
      </c>
      <c r="AH619" s="75">
        <f>AB619+AC619+AD619</f>
        <v>4.8999999999999998E-4</v>
      </c>
    </row>
    <row r="620" spans="1:38" ht="12.95" customHeight="1" x14ac:dyDescent="0.25">
      <c r="A620" s="571"/>
      <c r="B620" s="132" t="s">
        <v>1028</v>
      </c>
      <c r="C620" s="67"/>
      <c r="D620" s="67"/>
      <c r="E620" s="67"/>
      <c r="F620" s="67"/>
      <c r="G620" s="67"/>
      <c r="H620" s="67"/>
      <c r="I620" s="67"/>
      <c r="J620" s="67"/>
      <c r="K620" s="67"/>
      <c r="L620" s="68"/>
      <c r="M620" s="68"/>
      <c r="N620" s="67"/>
      <c r="O620" s="67"/>
      <c r="P620" s="67"/>
      <c r="Q620" s="75">
        <v>0.45</v>
      </c>
      <c r="R620" s="78">
        <v>0.4</v>
      </c>
      <c r="S620" s="75">
        <v>1.1000000000000001</v>
      </c>
      <c r="T620" s="78">
        <v>1.1000000000000001</v>
      </c>
      <c r="U620" s="78">
        <v>1.3</v>
      </c>
      <c r="V620" s="108">
        <f>ROUND((R620*N617+T620*L617+Q620*D617),4)</f>
        <v>2.0609999999999999</v>
      </c>
      <c r="W620" s="109">
        <f>ROUND((S620*0.9*O617+U620*0.9*L617+Q620*D617),4)</f>
        <v>6.4016999999999999</v>
      </c>
      <c r="X620" s="109">
        <f>ROUND((S620*P617+U620*L617+Q620*D617),4)</f>
        <v>22.463000000000001</v>
      </c>
      <c r="Y620" s="109">
        <f>ROUND((T620*M617+Q620*E617),4)</f>
        <v>0.46100000000000002</v>
      </c>
      <c r="Z620" s="109">
        <f>ROUND((U620*0.9*M617+Q620*E617),4)</f>
        <v>0.4617</v>
      </c>
      <c r="AA620" s="109">
        <f>ROUND((U620*M617+Q620*E617),4)</f>
        <v>0.46300000000000002</v>
      </c>
      <c r="AB620" s="109">
        <f>ROUND((H617*(V620+Y620)*G617*I617/1000000),4)</f>
        <v>5.0000000000000001E-4</v>
      </c>
      <c r="AC620" s="109">
        <f>ROUND((H617*(W620+Z620)*G617*J617/1000000),4)</f>
        <v>5.9999999999999995E-4</v>
      </c>
      <c r="AD620" s="109">
        <f>ROUND((H617*(X620+AA620)*G617*K617/1000000),4)</f>
        <v>2.2000000000000001E-3</v>
      </c>
      <c r="AE620" s="73" t="s">
        <v>177</v>
      </c>
      <c r="AF620" s="74" t="s">
        <v>178</v>
      </c>
      <c r="AG620" s="75">
        <f>ROUND(((X620*F617/3600)),4)</f>
        <v>6.1999999999999998E-3</v>
      </c>
      <c r="AH620" s="75">
        <f>AB620+AC620+AD620</f>
        <v>3.3E-3</v>
      </c>
    </row>
    <row r="621" spans="1:38" ht="12.95" customHeight="1" x14ac:dyDescent="0.25">
      <c r="A621" s="572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8"/>
      <c r="M621" s="68"/>
      <c r="N621" s="67"/>
      <c r="O621" s="67"/>
      <c r="P621" s="67"/>
      <c r="Q621" s="75">
        <v>2.9</v>
      </c>
      <c r="R621" s="78">
        <v>3</v>
      </c>
      <c r="S621" s="75">
        <v>8.1999999999999993</v>
      </c>
      <c r="T621" s="78">
        <v>7.5</v>
      </c>
      <c r="U621" s="78">
        <v>9.3000000000000007</v>
      </c>
      <c r="V621" s="167">
        <f>ROUND((R621*N617+T621*L617+Q621*D617),4)</f>
        <v>14.975</v>
      </c>
      <c r="W621" s="168">
        <f>ROUND((S621*0.9*O617+U621*0.9*L617+Q621*D617),4)</f>
        <v>47.2637</v>
      </c>
      <c r="X621" s="168">
        <f>ROUND((S621*P617+U621*L617+Q621*D617),4)</f>
        <v>166.99299999999999</v>
      </c>
      <c r="Y621" s="168">
        <f>ROUND((T621*M617+Q621*E617),4)</f>
        <v>2.9750000000000001</v>
      </c>
      <c r="Z621" s="168">
        <f>ROUND((U621*0.9*M617+Q621*E617),4)</f>
        <v>2.9836999999999998</v>
      </c>
      <c r="AA621" s="168">
        <f>ROUND((U621*M617+Q621*E617),4)</f>
        <v>2.9929999999999999</v>
      </c>
      <c r="AB621" s="168">
        <f>ROUND((H617*(V621+Y621)*G617*I617/1000000),4)</f>
        <v>3.2000000000000002E-3</v>
      </c>
      <c r="AC621" s="168">
        <f>ROUND((H617*(W621+Z621)*G617*J617/1000000),4)</f>
        <v>4.4999999999999997E-3</v>
      </c>
      <c r="AD621" s="168">
        <f>ROUND((H617*(X621+AA621)*G617*K617/1000000),4)</f>
        <v>1.61E-2</v>
      </c>
      <c r="AE621" s="73" t="s">
        <v>65</v>
      </c>
      <c r="AF621" s="74" t="s">
        <v>66</v>
      </c>
      <c r="AG621" s="75">
        <f>ROUND(((X621*F617/3600)),4)</f>
        <v>4.6399999999999997E-2</v>
      </c>
      <c r="AH621" s="75">
        <f>AB621+AC621+AD621</f>
        <v>2.3800000000000002E-2</v>
      </c>
    </row>
    <row r="622" spans="1:38" ht="12.95" customHeight="1" x14ac:dyDescent="0.25">
      <c r="A622" s="573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70"/>
      <c r="M622" s="70"/>
      <c r="N622" s="69"/>
      <c r="O622" s="69"/>
      <c r="P622" s="69"/>
      <c r="Q622" s="75">
        <v>0.04</v>
      </c>
      <c r="R622" s="78">
        <v>0.04</v>
      </c>
      <c r="S622" s="75">
        <v>0.16</v>
      </c>
      <c r="T622" s="78">
        <v>0.4</v>
      </c>
      <c r="U622" s="78">
        <v>0.5</v>
      </c>
      <c r="V622" s="167">
        <f>ROUND((R622*N617+T622*L617+Q622*D617),4)</f>
        <v>0.20399999999999999</v>
      </c>
      <c r="W622" s="168">
        <f>ROUND((S622*0.9*O617+U622*0.9*L617+Q622*D617),4)</f>
        <v>0.90849999999999997</v>
      </c>
      <c r="X622" s="168">
        <f>ROUND((S622*P617+U622*L617+Q622*D617),4)</f>
        <v>3.2450000000000001</v>
      </c>
      <c r="Y622" s="168">
        <f>ROUND((T622*M617+Q622*E617),4)</f>
        <v>4.3999999999999997E-2</v>
      </c>
      <c r="Z622" s="168">
        <f>ROUND((U622*0.9*M617+Q622*E617),4)</f>
        <v>4.4499999999999998E-2</v>
      </c>
      <c r="AA622" s="168">
        <f>ROUND((U622*M617+Q622*E617),4)</f>
        <v>4.4999999999999998E-2</v>
      </c>
      <c r="AB622" s="168">
        <f>ROUND((H617*(V622+Y622)*G617*I617/1000000),5)</f>
        <v>4.0000000000000003E-5</v>
      </c>
      <c r="AC622" s="168">
        <f>ROUND((H617*(W622+Z622)*G617*J617/1000000),5)</f>
        <v>9.0000000000000006E-5</v>
      </c>
      <c r="AD622" s="168">
        <f>ROUND((H617*(X622+AA622)*G617*K617/1000000),4)</f>
        <v>2.9999999999999997E-4</v>
      </c>
      <c r="AE622" s="73" t="s">
        <v>213</v>
      </c>
      <c r="AF622" s="74" t="s">
        <v>62</v>
      </c>
      <c r="AG622" s="75">
        <f>ROUND(((X622*F617/3600)),4)</f>
        <v>8.9999999999999998E-4</v>
      </c>
      <c r="AH622" s="75">
        <f>AB622+AC622+AD622</f>
        <v>4.2999999999999999E-4</v>
      </c>
      <c r="AI622" s="61">
        <f>SUM(AG617:AG622)</f>
        <v>6.4899999999999999E-2</v>
      </c>
      <c r="AJ622" s="61">
        <f>SUM(AH617:AH622)</f>
        <v>3.3920000000000006E-2</v>
      </c>
    </row>
    <row r="623" spans="1:38" x14ac:dyDescent="0.25">
      <c r="AI623" s="61">
        <f>SUM(AI288:AI622)</f>
        <v>3.1152000000000024</v>
      </c>
      <c r="AJ623" s="61">
        <f>SUM(AJ288:AJ622)</f>
        <v>0.86714000000000024</v>
      </c>
      <c r="AL623">
        <v>2030</v>
      </c>
    </row>
  </sheetData>
  <mergeCells count="199">
    <mergeCell ref="A19:AH19"/>
    <mergeCell ref="A29:AH29"/>
    <mergeCell ref="A37:AH37"/>
    <mergeCell ref="A38:A40"/>
    <mergeCell ref="B38:B40"/>
    <mergeCell ref="C38:C40"/>
    <mergeCell ref="D38:D40"/>
    <mergeCell ref="E38:E40"/>
    <mergeCell ref="F38:F40"/>
    <mergeCell ref="G38:G40"/>
    <mergeCell ref="H38:H40"/>
    <mergeCell ref="I38:K39"/>
    <mergeCell ref="L38:L40"/>
    <mergeCell ref="M38:M40"/>
    <mergeCell ref="N38:P39"/>
    <mergeCell ref="Q38:Q40"/>
    <mergeCell ref="R38:S39"/>
    <mergeCell ref="T38:U39"/>
    <mergeCell ref="V38:X39"/>
    <mergeCell ref="Y38:AA39"/>
    <mergeCell ref="AB38:AD39"/>
    <mergeCell ref="AE38:AE40"/>
    <mergeCell ref="AF38:AF40"/>
    <mergeCell ref="AG38:AG40"/>
    <mergeCell ref="AH38:AH40"/>
    <mergeCell ref="A21:AH21"/>
    <mergeCell ref="A30:AH30"/>
    <mergeCell ref="A33:AH33"/>
    <mergeCell ref="A1:AH1"/>
    <mergeCell ref="A6:AH6"/>
    <mergeCell ref="A8:AH8"/>
    <mergeCell ref="A10:AH10"/>
    <mergeCell ref="A602:AH602"/>
    <mergeCell ref="C547:C548"/>
    <mergeCell ref="A553:AH553"/>
    <mergeCell ref="C554:C555"/>
    <mergeCell ref="A560:AH560"/>
    <mergeCell ref="C561:C562"/>
    <mergeCell ref="A567:AH567"/>
    <mergeCell ref="C568:C569"/>
    <mergeCell ref="A574:AH574"/>
    <mergeCell ref="C575:C576"/>
    <mergeCell ref="A525:AH525"/>
    <mergeCell ref="C526:C527"/>
    <mergeCell ref="A532:AH532"/>
    <mergeCell ref="C533:C534"/>
    <mergeCell ref="A539:AH539"/>
    <mergeCell ref="C540:C541"/>
    <mergeCell ref="C603:C604"/>
    <mergeCell ref="A609:AH609"/>
    <mergeCell ref="C610:C611"/>
    <mergeCell ref="A616:AH616"/>
    <mergeCell ref="C617:C618"/>
    <mergeCell ref="A588:AH588"/>
    <mergeCell ref="C589:C590"/>
    <mergeCell ref="A595:AH595"/>
    <mergeCell ref="C596:C597"/>
    <mergeCell ref="A581:AH581"/>
    <mergeCell ref="C582:C583"/>
    <mergeCell ref="A420:AH420"/>
    <mergeCell ref="C421:C422"/>
    <mergeCell ref="A399:AH399"/>
    <mergeCell ref="C400:C401"/>
    <mergeCell ref="A406:AH406"/>
    <mergeCell ref="C407:C408"/>
    <mergeCell ref="A413:AH413"/>
    <mergeCell ref="A518:AH518"/>
    <mergeCell ref="C519:C520"/>
    <mergeCell ref="A427:AH427"/>
    <mergeCell ref="C428:C429"/>
    <mergeCell ref="A434:AH434"/>
    <mergeCell ref="C435:C436"/>
    <mergeCell ref="A441:AH441"/>
    <mergeCell ref="C442:C443"/>
    <mergeCell ref="A448:AH448"/>
    <mergeCell ref="C449:C450"/>
    <mergeCell ref="A455:AH455"/>
    <mergeCell ref="A490:AH490"/>
    <mergeCell ref="C491:C492"/>
    <mergeCell ref="A497:AH497"/>
    <mergeCell ref="A392:AH392"/>
    <mergeCell ref="C393:C394"/>
    <mergeCell ref="A371:AH371"/>
    <mergeCell ref="C372:C373"/>
    <mergeCell ref="A378:AH378"/>
    <mergeCell ref="C379:C380"/>
    <mergeCell ref="A385:AH385"/>
    <mergeCell ref="C414:C415"/>
    <mergeCell ref="A546:AH546"/>
    <mergeCell ref="C358:C359"/>
    <mergeCell ref="A364:AH364"/>
    <mergeCell ref="C365:C366"/>
    <mergeCell ref="A336:AH336"/>
    <mergeCell ref="C337:C338"/>
    <mergeCell ref="A343:AH343"/>
    <mergeCell ref="C344:C345"/>
    <mergeCell ref="A350:AH350"/>
    <mergeCell ref="C386:C387"/>
    <mergeCell ref="A329:AH329"/>
    <mergeCell ref="C330:C331"/>
    <mergeCell ref="A301:AH301"/>
    <mergeCell ref="C302:C303"/>
    <mergeCell ref="A308:AH308"/>
    <mergeCell ref="C309:C310"/>
    <mergeCell ref="A315:AH315"/>
    <mergeCell ref="C351:C352"/>
    <mergeCell ref="A357:AH357"/>
    <mergeCell ref="A131:AH131"/>
    <mergeCell ref="A132:AH132"/>
    <mergeCell ref="C133:C134"/>
    <mergeCell ref="A139:AH139"/>
    <mergeCell ref="C140:C141"/>
    <mergeCell ref="A146:AH146"/>
    <mergeCell ref="C147:C148"/>
    <mergeCell ref="A153:AH153"/>
    <mergeCell ref="C154:C155"/>
    <mergeCell ref="A42:AH42"/>
    <mergeCell ref="A43:AH43"/>
    <mergeCell ref="C51:C52"/>
    <mergeCell ref="C90:C91"/>
    <mergeCell ref="C125:C126"/>
    <mergeCell ref="C72:C73"/>
    <mergeCell ref="C65:C66"/>
    <mergeCell ref="A50:AH50"/>
    <mergeCell ref="A71:AH71"/>
    <mergeCell ref="C78:C79"/>
    <mergeCell ref="C84:C85"/>
    <mergeCell ref="A64:AH64"/>
    <mergeCell ref="C44:C45"/>
    <mergeCell ref="A57:AH57"/>
    <mergeCell ref="C58:C59"/>
    <mergeCell ref="A124:AH124"/>
    <mergeCell ref="A96:U101"/>
    <mergeCell ref="A102:AH102"/>
    <mergeCell ref="C103:C104"/>
    <mergeCell ref="A109:AH109"/>
    <mergeCell ref="C110:C111"/>
    <mergeCell ref="A123:AH123"/>
    <mergeCell ref="A116:AH116"/>
    <mergeCell ref="C117:C118"/>
    <mergeCell ref="A160:AH160"/>
    <mergeCell ref="C161:C162"/>
    <mergeCell ref="A511:AH511"/>
    <mergeCell ref="C512:C513"/>
    <mergeCell ref="C456:C457"/>
    <mergeCell ref="A462:AH462"/>
    <mergeCell ref="C463:C464"/>
    <mergeCell ref="A469:AH469"/>
    <mergeCell ref="C470:C471"/>
    <mergeCell ref="A476:AH476"/>
    <mergeCell ref="C477:C478"/>
    <mergeCell ref="A483:AH483"/>
    <mergeCell ref="C484:C485"/>
    <mergeCell ref="C498:C499"/>
    <mergeCell ref="A504:AH504"/>
    <mergeCell ref="C505:C506"/>
    <mergeCell ref="A286:AH286"/>
    <mergeCell ref="C288:C289"/>
    <mergeCell ref="A287:AH287"/>
    <mergeCell ref="A294:AH294"/>
    <mergeCell ref="C295:C296"/>
    <mergeCell ref="C316:C317"/>
    <mergeCell ref="A322:AH322"/>
    <mergeCell ref="C323:C324"/>
    <mergeCell ref="A188:AH188"/>
    <mergeCell ref="C189:C190"/>
    <mergeCell ref="A195:AH195"/>
    <mergeCell ref="C196:C197"/>
    <mergeCell ref="A202:AH202"/>
    <mergeCell ref="A167:AH167"/>
    <mergeCell ref="C168:C169"/>
    <mergeCell ref="A174:AH174"/>
    <mergeCell ref="C175:C176"/>
    <mergeCell ref="A181:AH181"/>
    <mergeCell ref="C182:C183"/>
    <mergeCell ref="A35:AF35"/>
    <mergeCell ref="A279:AH279"/>
    <mergeCell ref="C280:C281"/>
    <mergeCell ref="C259:C260"/>
    <mergeCell ref="A265:AH265"/>
    <mergeCell ref="C266:C267"/>
    <mergeCell ref="A272:AH272"/>
    <mergeCell ref="C273:C274"/>
    <mergeCell ref="A244:AH244"/>
    <mergeCell ref="C245:C246"/>
    <mergeCell ref="A251:AH251"/>
    <mergeCell ref="C252:C253"/>
    <mergeCell ref="A258:AH258"/>
    <mergeCell ref="A237:AH237"/>
    <mergeCell ref="C238:C239"/>
    <mergeCell ref="A230:AH230"/>
    <mergeCell ref="C231:C232"/>
    <mergeCell ref="C203:C204"/>
    <mergeCell ref="A209:AH209"/>
    <mergeCell ref="C210:C211"/>
    <mergeCell ref="A216:AH216"/>
    <mergeCell ref="C217:C218"/>
    <mergeCell ref="A223:AH223"/>
    <mergeCell ref="C224:C225"/>
  </mergeCells>
  <pageMargins left="0.31496062992125984" right="0.31496062992125984" top="0.78740157480314965" bottom="0.39370078740157483" header="0.31496062992125984" footer="0.19685039370078741"/>
  <pageSetup paperSize="9" firstPageNumber="118" orientation="landscape" useFirstPageNumber="1" r:id="rId1"/>
  <headerFooter>
    <oddFooter>&amp;R&amp;P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T63"/>
  <sheetViews>
    <sheetView view="pageBreakPreview" zoomScaleNormal="100" zoomScaleSheetLayoutView="100" workbookViewId="0">
      <selection activeCell="K57" sqref="K57"/>
    </sheetView>
  </sheetViews>
  <sheetFormatPr defaultRowHeight="15" x14ac:dyDescent="0.25"/>
  <cols>
    <col min="1" max="1" width="7.85546875" customWidth="1"/>
    <col min="2" max="2" width="19.5703125" customWidth="1"/>
    <col min="3" max="3" width="18.42578125" customWidth="1"/>
    <col min="4" max="4" width="7.5703125" customWidth="1"/>
    <col min="5" max="5" width="6" customWidth="1"/>
    <col min="6" max="6" width="7" customWidth="1"/>
    <col min="7" max="7" width="5.42578125" customWidth="1"/>
    <col min="8" max="8" width="5.140625" customWidth="1"/>
    <col min="9" max="9" width="4.42578125" customWidth="1"/>
    <col min="10" max="10" width="18.42578125" customWidth="1"/>
    <col min="11" max="11" width="9.85546875" customWidth="1"/>
    <col min="12" max="12" width="11.85546875" customWidth="1"/>
    <col min="13" max="13" width="11.7109375" customWidth="1"/>
    <col min="14" max="15" width="15.85546875" style="61" customWidth="1"/>
    <col min="16" max="20" width="9.140625" style="61"/>
  </cols>
  <sheetData>
    <row r="1" spans="1:20" s="322" customFormat="1" ht="32.25" customHeight="1" x14ac:dyDescent="0.3">
      <c r="A1" s="1581" t="s">
        <v>1074</v>
      </c>
      <c r="B1" s="1581"/>
      <c r="C1" s="1581"/>
      <c r="D1" s="1581"/>
      <c r="E1" s="1581"/>
      <c r="F1" s="1581"/>
      <c r="G1" s="1581"/>
      <c r="H1" s="1581"/>
      <c r="I1" s="1581"/>
      <c r="J1" s="1581"/>
      <c r="K1" s="1581"/>
      <c r="L1" s="1581"/>
      <c r="M1" s="1581"/>
      <c r="N1" s="564"/>
      <c r="O1" s="754"/>
      <c r="P1" s="61"/>
      <c r="Q1" s="61"/>
      <c r="R1" s="61"/>
      <c r="S1" s="61"/>
      <c r="T1" s="61"/>
    </row>
    <row r="2" spans="1:20" s="322" customFormat="1" ht="19.5" customHeight="1" x14ac:dyDescent="0.3">
      <c r="A2" s="719"/>
      <c r="B2" s="719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564"/>
      <c r="O2" s="754"/>
      <c r="P2" s="61"/>
      <c r="Q2" s="61"/>
      <c r="R2" s="61"/>
      <c r="S2" s="61"/>
      <c r="T2" s="61"/>
    </row>
    <row r="3" spans="1:20" s="216" customFormat="1" ht="15" customHeight="1" x14ac:dyDescent="0.25">
      <c r="A3" s="1586" t="s">
        <v>796</v>
      </c>
      <c r="B3" s="1586"/>
      <c r="C3" s="1586"/>
      <c r="D3" s="1586"/>
      <c r="E3" s="1586"/>
      <c r="F3" s="1586"/>
      <c r="G3" s="1586"/>
      <c r="H3" s="1586"/>
      <c r="I3" s="1586"/>
      <c r="J3" s="1586"/>
      <c r="K3" s="1586"/>
      <c r="L3" s="1586"/>
      <c r="M3" s="1586"/>
      <c r="N3" s="1586"/>
      <c r="O3" s="419"/>
      <c r="P3" s="419"/>
      <c r="Q3" s="419"/>
      <c r="R3" s="419"/>
      <c r="S3" s="419"/>
      <c r="T3" s="419"/>
    </row>
    <row r="4" spans="1:20" s="260" customFormat="1" ht="18" customHeight="1" x14ac:dyDescent="0.25">
      <c r="A4" s="1093" t="s">
        <v>967</v>
      </c>
      <c r="B4" s="1093"/>
      <c r="C4" s="1093"/>
      <c r="D4" s="109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419"/>
      <c r="P4" s="419"/>
      <c r="Q4" s="419"/>
      <c r="R4" s="419"/>
      <c r="S4" s="419"/>
      <c r="T4" s="419"/>
    </row>
    <row r="5" spans="1:20" x14ac:dyDescent="0.25">
      <c r="A5" s="1587"/>
      <c r="B5" s="1587"/>
      <c r="C5" s="1587"/>
      <c r="D5" s="1587"/>
      <c r="E5" s="1587"/>
      <c r="F5" s="1587"/>
      <c r="G5" s="1587"/>
      <c r="H5" s="1587"/>
      <c r="I5" s="1587"/>
      <c r="J5" s="1587"/>
      <c r="K5" s="1587"/>
      <c r="L5" s="1587"/>
      <c r="M5" s="1587"/>
      <c r="N5" s="1587"/>
      <c r="O5" s="1587"/>
    </row>
    <row r="6" spans="1:20" ht="34.5" customHeight="1" x14ac:dyDescent="0.25">
      <c r="A6" s="1585" t="s">
        <v>1063</v>
      </c>
      <c r="B6" s="1585"/>
      <c r="C6" s="1585"/>
      <c r="D6" s="1585"/>
      <c r="E6" s="1585"/>
      <c r="F6" s="1585"/>
      <c r="G6" s="1585"/>
      <c r="H6" s="1585"/>
      <c r="I6" s="1585"/>
      <c r="J6" s="1585"/>
      <c r="K6" s="1585"/>
      <c r="L6" s="1585"/>
      <c r="M6" s="1585"/>
      <c r="N6" s="1585"/>
      <c r="O6" s="751"/>
    </row>
    <row r="7" spans="1:20" ht="7.5" customHeight="1" x14ac:dyDescent="0.25">
      <c r="A7" s="429"/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752"/>
      <c r="O7" s="752"/>
    </row>
    <row r="8" spans="1:20" ht="15" customHeight="1" x14ac:dyDescent="0.25">
      <c r="A8" s="1154" t="s">
        <v>1071</v>
      </c>
      <c r="B8" s="1154"/>
      <c r="C8" s="1154"/>
      <c r="D8" s="1154"/>
      <c r="E8" s="1154"/>
      <c r="F8" s="1154"/>
      <c r="G8" s="1154"/>
      <c r="H8" s="1154"/>
      <c r="I8" s="1154"/>
      <c r="J8" s="1154"/>
      <c r="K8" s="1154"/>
      <c r="L8" s="1154"/>
      <c r="M8" s="1154"/>
      <c r="N8" s="1154"/>
      <c r="O8" s="1154"/>
    </row>
    <row r="9" spans="1:20" ht="13.5" customHeight="1" x14ac:dyDescent="0.25">
      <c r="A9" s="429"/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752"/>
      <c r="O9" s="752"/>
    </row>
    <row r="10" spans="1:20" s="435" customFormat="1" ht="12" customHeight="1" x14ac:dyDescent="0.25">
      <c r="A10" s="435" t="s">
        <v>1064</v>
      </c>
      <c r="B10" s="436"/>
      <c r="G10" s="436"/>
      <c r="H10" s="437"/>
      <c r="I10" s="327"/>
      <c r="J10" s="327"/>
      <c r="K10" s="327"/>
      <c r="L10" s="327"/>
      <c r="M10" s="327"/>
      <c r="N10" s="61"/>
      <c r="O10" s="61"/>
      <c r="P10" s="61"/>
      <c r="Q10" s="753"/>
      <c r="R10" s="753"/>
      <c r="S10" s="61"/>
      <c r="T10" s="61"/>
    </row>
    <row r="11" spans="1:20" s="435" customFormat="1" ht="12" customHeight="1" x14ac:dyDescent="0.25">
      <c r="A11" s="1583" t="s">
        <v>1070</v>
      </c>
      <c r="B11" s="1583"/>
      <c r="C11" s="1583"/>
      <c r="D11" s="1583"/>
      <c r="E11" s="1583"/>
      <c r="F11" s="1583"/>
      <c r="G11" s="1583"/>
      <c r="H11" s="1583"/>
      <c r="I11" s="1583"/>
      <c r="J11" s="1583"/>
      <c r="K11" s="1583"/>
      <c r="L11" s="1583"/>
      <c r="M11" s="1583"/>
      <c r="N11" s="1583"/>
      <c r="O11" s="1583"/>
      <c r="P11" s="61"/>
      <c r="Q11" s="753"/>
      <c r="R11" s="753"/>
      <c r="S11" s="61"/>
      <c r="T11" s="61"/>
    </row>
    <row r="12" spans="1:20" s="435" customFormat="1" ht="12" customHeight="1" x14ac:dyDescent="0.25">
      <c r="A12" s="1583" t="s">
        <v>1065</v>
      </c>
      <c r="B12" s="1583"/>
      <c r="C12" s="1583"/>
      <c r="D12" s="1583"/>
      <c r="E12" s="1583"/>
      <c r="F12" s="1583"/>
      <c r="G12" s="1583"/>
      <c r="H12" s="1583"/>
      <c r="I12" s="1583"/>
      <c r="J12" s="1583"/>
      <c r="K12" s="1583"/>
      <c r="L12" s="1583"/>
      <c r="M12" s="1583"/>
      <c r="N12" s="1583"/>
      <c r="O12" s="1583"/>
      <c r="P12" s="61"/>
      <c r="Q12" s="753"/>
      <c r="R12" s="753"/>
      <c r="S12" s="61"/>
      <c r="T12" s="61"/>
    </row>
    <row r="13" spans="1:20" s="435" customFormat="1" ht="12" customHeight="1" x14ac:dyDescent="0.25">
      <c r="A13" s="1583" t="s">
        <v>1066</v>
      </c>
      <c r="B13" s="1583"/>
      <c r="C13" s="1583"/>
      <c r="D13" s="1583"/>
      <c r="E13" s="1583"/>
      <c r="F13" s="1583"/>
      <c r="G13" s="1583"/>
      <c r="H13" s="1583"/>
      <c r="I13" s="1583"/>
      <c r="J13" s="1583"/>
      <c r="K13" s="1583"/>
      <c r="L13" s="1583"/>
      <c r="M13" s="1583"/>
      <c r="N13" s="1583"/>
      <c r="O13" s="1583"/>
      <c r="P13" s="61"/>
      <c r="Q13" s="753"/>
      <c r="R13" s="753"/>
      <c r="S13" s="61"/>
      <c r="T13" s="61"/>
    </row>
    <row r="14" spans="1:20" s="435" customFormat="1" ht="15" customHeight="1" x14ac:dyDescent="0.25">
      <c r="A14" s="1583" t="s">
        <v>1067</v>
      </c>
      <c r="B14" s="1583"/>
      <c r="C14" s="1583"/>
      <c r="D14" s="1583"/>
      <c r="E14" s="1583"/>
      <c r="F14" s="1583"/>
      <c r="G14" s="1583"/>
      <c r="H14" s="1583"/>
      <c r="I14" s="1583"/>
      <c r="J14" s="1583"/>
      <c r="K14" s="1583"/>
      <c r="L14" s="1583"/>
      <c r="M14" s="1583"/>
      <c r="N14" s="1583"/>
      <c r="O14" s="1583"/>
      <c r="P14" s="61"/>
      <c r="Q14" s="753"/>
      <c r="R14" s="753"/>
      <c r="S14" s="61"/>
      <c r="T14" s="61"/>
    </row>
    <row r="15" spans="1:20" s="310" customFormat="1" ht="16.5" customHeight="1" x14ac:dyDescent="0.25">
      <c r="A15" s="1584" t="s">
        <v>1073</v>
      </c>
      <c r="B15" s="1584"/>
      <c r="C15" s="1584"/>
      <c r="D15" s="1584"/>
      <c r="E15" s="1584"/>
      <c r="F15" s="1584"/>
      <c r="G15" s="1584"/>
      <c r="H15" s="1584"/>
      <c r="I15" s="1584"/>
      <c r="J15" s="1584"/>
      <c r="K15" s="1584"/>
      <c r="L15" s="1584"/>
      <c r="M15" s="1584"/>
      <c r="N15" s="1584"/>
      <c r="O15" s="1584"/>
      <c r="P15" s="61"/>
      <c r="Q15" s="753"/>
      <c r="R15" s="753"/>
      <c r="S15" s="61"/>
      <c r="T15" s="61"/>
    </row>
    <row r="16" spans="1:20" s="435" customFormat="1" ht="7.5" customHeight="1" x14ac:dyDescent="0.25">
      <c r="A16" s="438"/>
      <c r="B16" s="438"/>
      <c r="C16" s="438"/>
      <c r="D16" s="438"/>
      <c r="E16" s="438"/>
      <c r="F16" s="438"/>
      <c r="G16" s="438"/>
      <c r="H16" s="438"/>
      <c r="I16" s="438"/>
      <c r="J16" s="438"/>
      <c r="K16" s="438"/>
      <c r="L16" s="438"/>
      <c r="M16" s="438"/>
      <c r="N16" s="494"/>
      <c r="O16" s="494"/>
      <c r="P16" s="61"/>
      <c r="Q16" s="753"/>
      <c r="R16" s="753"/>
      <c r="S16" s="61"/>
      <c r="T16" s="61"/>
    </row>
    <row r="17" spans="1:20" s="427" customFormat="1" ht="18.75" x14ac:dyDescent="0.3">
      <c r="A17" s="1585" t="s">
        <v>1068</v>
      </c>
      <c r="B17" s="1585"/>
      <c r="C17" s="1585"/>
      <c r="D17" s="1585"/>
      <c r="E17" s="1585"/>
      <c r="F17" s="1585"/>
      <c r="G17" s="1585"/>
      <c r="H17" s="1585"/>
      <c r="I17" s="1585"/>
      <c r="J17" s="1585"/>
      <c r="K17" s="1585"/>
      <c r="L17" s="1585"/>
      <c r="M17" s="1585"/>
      <c r="N17" s="1585"/>
      <c r="O17" s="1585"/>
      <c r="P17" s="61"/>
      <c r="Q17" s="61"/>
      <c r="R17" s="61"/>
      <c r="S17" s="61"/>
      <c r="T17" s="61"/>
    </row>
    <row r="18" spans="1:20" s="427" customFormat="1" ht="9" customHeight="1" x14ac:dyDescent="0.3">
      <c r="A18" s="434"/>
      <c r="B18" s="434"/>
      <c r="C18" s="434"/>
      <c r="D18" s="434"/>
      <c r="E18" s="434"/>
      <c r="F18" s="434"/>
      <c r="G18" s="434"/>
      <c r="H18" s="434"/>
      <c r="I18" s="434"/>
      <c r="J18" s="434"/>
      <c r="K18" s="434"/>
      <c r="L18" s="434"/>
      <c r="M18" s="434"/>
      <c r="N18" s="752"/>
      <c r="O18" s="752"/>
      <c r="P18" s="61"/>
      <c r="Q18" s="61"/>
      <c r="R18" s="61"/>
      <c r="S18" s="61"/>
      <c r="T18" s="61"/>
    </row>
    <row r="19" spans="1:20" s="427" customFormat="1" ht="10.5" customHeight="1" x14ac:dyDescent="0.3">
      <c r="A19" s="1154" t="s">
        <v>1072</v>
      </c>
      <c r="B19" s="1154"/>
      <c r="C19" s="1154"/>
      <c r="D19" s="1154"/>
      <c r="E19" s="1154"/>
      <c r="F19" s="1154"/>
      <c r="G19" s="1154"/>
      <c r="H19" s="1154"/>
      <c r="I19" s="1154"/>
      <c r="J19" s="1154"/>
      <c r="K19" s="1154"/>
      <c r="L19" s="1154"/>
      <c r="M19" s="1154"/>
      <c r="N19" s="1154"/>
      <c r="O19" s="1154"/>
      <c r="P19" s="61"/>
      <c r="Q19" s="61"/>
      <c r="R19" s="61"/>
      <c r="S19" s="61"/>
      <c r="T19" s="61"/>
    </row>
    <row r="20" spans="1:20" s="427" customFormat="1" ht="6.75" customHeight="1" x14ac:dyDescent="0.3">
      <c r="A20" s="259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91"/>
      <c r="O20" s="291"/>
      <c r="P20" s="61"/>
      <c r="Q20" s="61"/>
      <c r="R20" s="61"/>
      <c r="S20" s="61"/>
      <c r="T20" s="61"/>
    </row>
    <row r="21" spans="1:20" s="435" customFormat="1" ht="16.5" customHeight="1" x14ac:dyDescent="0.25">
      <c r="A21" s="1584" t="s">
        <v>1069</v>
      </c>
      <c r="B21" s="1584"/>
      <c r="C21" s="1584"/>
      <c r="D21" s="1584"/>
      <c r="E21" s="1584"/>
      <c r="F21" s="1584"/>
      <c r="G21" s="1584"/>
      <c r="H21" s="1584"/>
      <c r="I21" s="1584"/>
      <c r="J21" s="1584"/>
      <c r="K21" s="1584"/>
      <c r="L21" s="1584"/>
      <c r="M21" s="1584"/>
      <c r="N21" s="1584"/>
      <c r="O21" s="1584"/>
      <c r="P21" s="61"/>
      <c r="Q21" s="753"/>
      <c r="R21" s="753"/>
      <c r="S21" s="61"/>
      <c r="T21" s="61"/>
    </row>
    <row r="22" spans="1:20" s="310" customFormat="1" ht="8.25" customHeight="1" x14ac:dyDescent="0.2">
      <c r="A22" s="430"/>
      <c r="B22" s="430"/>
      <c r="C22" s="430"/>
      <c r="D22" s="430"/>
      <c r="E22" s="430"/>
      <c r="F22" s="430"/>
      <c r="G22" s="430"/>
      <c r="H22" s="430"/>
      <c r="I22" s="430"/>
      <c r="J22" s="430"/>
      <c r="K22" s="430"/>
      <c r="L22" s="430"/>
      <c r="M22" s="430"/>
      <c r="N22" s="738"/>
      <c r="O22" s="738"/>
      <c r="P22" s="61"/>
      <c r="Q22" s="753"/>
      <c r="R22" s="753"/>
      <c r="S22" s="61"/>
      <c r="T22" s="61"/>
    </row>
    <row r="23" spans="1:20" s="310" customFormat="1" ht="81" customHeight="1" x14ac:dyDescent="0.3">
      <c r="A23" s="1582" t="s">
        <v>1075</v>
      </c>
      <c r="B23" s="1582"/>
      <c r="C23" s="1582"/>
      <c r="D23" s="1582"/>
      <c r="E23" s="1582"/>
      <c r="F23" s="1582"/>
      <c r="G23" s="1582"/>
      <c r="H23" s="1582"/>
      <c r="I23" s="1582"/>
      <c r="J23" s="1582"/>
      <c r="K23" s="1582"/>
      <c r="L23" s="1582"/>
      <c r="M23" s="1582"/>
      <c r="N23" s="755"/>
      <c r="O23" s="723"/>
      <c r="P23" s="61"/>
      <c r="Q23" s="753"/>
      <c r="R23" s="753"/>
      <c r="S23" s="61"/>
      <c r="T23" s="61"/>
    </row>
    <row r="24" spans="1:20" s="310" customFormat="1" ht="12" customHeight="1" x14ac:dyDescent="0.3">
      <c r="A24" s="439"/>
      <c r="B24" s="439"/>
      <c r="C24" s="439"/>
      <c r="D24" s="439"/>
      <c r="E24" s="439"/>
      <c r="F24" s="439"/>
      <c r="G24" s="439"/>
      <c r="H24" s="439"/>
      <c r="I24" s="439"/>
      <c r="J24" s="439"/>
      <c r="K24" s="439"/>
      <c r="L24" s="439"/>
      <c r="M24" s="439"/>
      <c r="N24" s="738"/>
      <c r="O24" s="723"/>
      <c r="P24" s="61"/>
      <c r="Q24" s="753"/>
      <c r="R24" s="753"/>
      <c r="S24" s="61"/>
      <c r="T24" s="61"/>
    </row>
    <row r="25" spans="1:20" s="310" customFormat="1" ht="35.25" customHeight="1" x14ac:dyDescent="0.3">
      <c r="A25" s="1582" t="s">
        <v>1521</v>
      </c>
      <c r="B25" s="1582"/>
      <c r="C25" s="1582"/>
      <c r="D25" s="1582"/>
      <c r="E25" s="1582"/>
      <c r="F25" s="1582"/>
      <c r="G25" s="1582"/>
      <c r="H25" s="1582"/>
      <c r="I25" s="1582"/>
      <c r="J25" s="1582"/>
      <c r="K25" s="1582"/>
      <c r="L25" s="1582"/>
      <c r="M25" s="1582"/>
      <c r="N25" s="755"/>
      <c r="O25" s="723"/>
      <c r="P25" s="61"/>
      <c r="Q25" s="753"/>
      <c r="R25" s="753"/>
      <c r="S25" s="61"/>
      <c r="T25" s="61"/>
    </row>
    <row r="26" spans="1:20" s="310" customFormat="1" ht="46.5" customHeight="1" x14ac:dyDescent="0.3">
      <c r="A26" s="439"/>
      <c r="B26" s="439"/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738"/>
      <c r="O26" s="723"/>
      <c r="P26" s="61"/>
      <c r="Q26" s="753"/>
      <c r="R26" s="753"/>
      <c r="S26" s="61"/>
      <c r="T26" s="61"/>
    </row>
    <row r="27" spans="1:20" ht="18.75" x14ac:dyDescent="0.3">
      <c r="A27" s="306" t="s">
        <v>1076</v>
      </c>
      <c r="B27" s="306"/>
      <c r="C27" s="306"/>
      <c r="D27" s="306"/>
      <c r="E27" s="306"/>
      <c r="F27" s="306"/>
      <c r="G27" s="306"/>
      <c r="H27" s="306"/>
      <c r="I27" s="306"/>
      <c r="J27" s="306"/>
      <c r="K27" s="306"/>
      <c r="L27" s="431"/>
      <c r="M27" s="431"/>
      <c r="N27" s="419"/>
      <c r="O27" s="419"/>
    </row>
    <row r="28" spans="1:20" ht="12.95" customHeight="1" x14ac:dyDescent="0.25">
      <c r="A28" s="1547" t="s">
        <v>159</v>
      </c>
      <c r="B28" s="1547" t="s">
        <v>191</v>
      </c>
      <c r="C28" s="1568" t="s">
        <v>303</v>
      </c>
      <c r="D28" s="1568" t="s">
        <v>304</v>
      </c>
      <c r="E28" s="1568" t="s">
        <v>305</v>
      </c>
      <c r="F28" s="1568" t="s">
        <v>306</v>
      </c>
      <c r="G28" s="1609" t="s">
        <v>307</v>
      </c>
      <c r="H28" s="1554" t="s">
        <v>196</v>
      </c>
      <c r="I28" s="1554" t="s">
        <v>308</v>
      </c>
      <c r="J28" s="1594" t="s">
        <v>20</v>
      </c>
      <c r="K28" s="1597" t="s">
        <v>91</v>
      </c>
      <c r="L28" s="1600" t="s">
        <v>22</v>
      </c>
      <c r="M28" s="1603" t="s">
        <v>23</v>
      </c>
    </row>
    <row r="29" spans="1:20" ht="12.95" customHeight="1" x14ac:dyDescent="0.25">
      <c r="A29" s="1548"/>
      <c r="B29" s="1548"/>
      <c r="C29" s="1570"/>
      <c r="D29" s="1570"/>
      <c r="E29" s="1570"/>
      <c r="F29" s="1570"/>
      <c r="G29" s="1609"/>
      <c r="H29" s="1554"/>
      <c r="I29" s="1554"/>
      <c r="J29" s="1595"/>
      <c r="K29" s="1598"/>
      <c r="L29" s="1601"/>
      <c r="M29" s="1604"/>
    </row>
    <row r="30" spans="1:20" ht="12.95" customHeight="1" x14ac:dyDescent="0.25">
      <c r="A30" s="1549"/>
      <c r="B30" s="1549"/>
      <c r="C30" s="117" t="s">
        <v>309</v>
      </c>
      <c r="D30" s="117" t="s">
        <v>208</v>
      </c>
      <c r="E30" s="117" t="s">
        <v>208</v>
      </c>
      <c r="F30" s="117" t="s">
        <v>208</v>
      </c>
      <c r="G30" s="1609"/>
      <c r="H30" s="1554"/>
      <c r="I30" s="1554"/>
      <c r="J30" s="1596"/>
      <c r="K30" s="1599"/>
      <c r="L30" s="1602"/>
      <c r="M30" s="1605"/>
    </row>
    <row r="31" spans="1:20" ht="12.95" customHeight="1" x14ac:dyDescent="0.25">
      <c r="A31" s="53">
        <v>1</v>
      </c>
      <c r="B31" s="53">
        <v>2</v>
      </c>
      <c r="C31" s="118">
        <v>4</v>
      </c>
      <c r="D31" s="53">
        <v>5</v>
      </c>
      <c r="E31" s="53">
        <v>6</v>
      </c>
      <c r="F31" s="53">
        <v>7</v>
      </c>
      <c r="G31" s="53">
        <v>8</v>
      </c>
      <c r="H31" s="53">
        <v>9</v>
      </c>
      <c r="I31" s="53">
        <v>10</v>
      </c>
      <c r="J31" s="53">
        <v>11</v>
      </c>
      <c r="K31" s="53">
        <v>12</v>
      </c>
      <c r="L31" s="53">
        <v>13</v>
      </c>
      <c r="M31" s="53">
        <v>14</v>
      </c>
    </row>
    <row r="32" spans="1:20" ht="12.95" customHeight="1" x14ac:dyDescent="0.25">
      <c r="A32" s="1606" t="s">
        <v>148</v>
      </c>
      <c r="B32" s="1607"/>
      <c r="C32" s="1607"/>
      <c r="D32" s="1607"/>
      <c r="E32" s="1607"/>
      <c r="F32" s="1607"/>
      <c r="G32" s="1607"/>
      <c r="H32" s="1607"/>
      <c r="I32" s="1607"/>
      <c r="J32" s="1607"/>
      <c r="K32" s="1607"/>
      <c r="L32" s="1607"/>
      <c r="M32" s="1608"/>
    </row>
    <row r="33" spans="1:13" ht="12.95" customHeight="1" x14ac:dyDescent="0.25">
      <c r="A33" s="1591" t="s">
        <v>313</v>
      </c>
      <c r="B33" s="1592"/>
      <c r="C33" s="1592"/>
      <c r="D33" s="1592"/>
      <c r="E33" s="1592"/>
      <c r="F33" s="1592"/>
      <c r="G33" s="1592"/>
      <c r="H33" s="1592"/>
      <c r="I33" s="1592"/>
      <c r="J33" s="1592"/>
      <c r="K33" s="1592"/>
      <c r="L33" s="1592"/>
      <c r="M33" s="1593"/>
    </row>
    <row r="34" spans="1:13" ht="12.95" customHeight="1" x14ac:dyDescent="0.25">
      <c r="A34" s="119" t="s">
        <v>314</v>
      </c>
      <c r="B34" s="80" t="s">
        <v>310</v>
      </c>
      <c r="C34" s="60" t="s">
        <v>165</v>
      </c>
      <c r="D34" s="18">
        <v>1</v>
      </c>
      <c r="E34" s="80">
        <v>1.5</v>
      </c>
      <c r="F34" s="18">
        <v>4.5</v>
      </c>
      <c r="G34" s="82">
        <v>0.05</v>
      </c>
      <c r="H34" s="82">
        <v>50</v>
      </c>
      <c r="I34" s="82">
        <v>1</v>
      </c>
      <c r="J34" s="121" t="s">
        <v>48</v>
      </c>
      <c r="K34" s="122" t="s">
        <v>49</v>
      </c>
      <c r="L34" s="60">
        <f>ROUND((((F34*G34+0.5*D34*E34)*I34/3600)*0.8),5)</f>
        <v>2.2000000000000001E-4</v>
      </c>
      <c r="M34" s="60">
        <f>ROUND((((2*F34*G34+D34*E34)*H34/1000000)*0.8),5)</f>
        <v>8.0000000000000007E-5</v>
      </c>
    </row>
    <row r="35" spans="1:13" ht="12.95" customHeight="1" x14ac:dyDescent="0.25">
      <c r="A35" s="120"/>
      <c r="B35" s="89" t="s">
        <v>311</v>
      </c>
      <c r="C35" s="89" t="s">
        <v>298</v>
      </c>
      <c r="D35" s="83"/>
      <c r="E35" s="90"/>
      <c r="F35" s="83"/>
      <c r="G35" s="90"/>
      <c r="H35" s="90"/>
      <c r="I35" s="90"/>
      <c r="J35" s="123" t="s">
        <v>51</v>
      </c>
      <c r="K35" s="122" t="s">
        <v>52</v>
      </c>
      <c r="L35" s="60">
        <f>ROUND((((F34*G34+0.5*D34*E34)*I34/3600)*0.13),5)</f>
        <v>4.0000000000000003E-5</v>
      </c>
      <c r="M35" s="60">
        <f>ROUND((((2*F34*G34+D34*E34)*H34/1000000)*0.13),5)</f>
        <v>1.0000000000000001E-5</v>
      </c>
    </row>
    <row r="36" spans="1:13" ht="12.95" customHeight="1" x14ac:dyDescent="0.25">
      <c r="A36" s="90"/>
      <c r="B36" s="89" t="s">
        <v>312</v>
      </c>
      <c r="C36" s="90"/>
      <c r="D36" s="19">
        <v>0.113</v>
      </c>
      <c r="E36" s="90"/>
      <c r="F36" s="19">
        <v>0.78</v>
      </c>
      <c r="G36" s="90"/>
      <c r="H36" s="90"/>
      <c r="I36" s="90"/>
      <c r="J36" s="123" t="s">
        <v>56</v>
      </c>
      <c r="K36" s="122" t="s">
        <v>57</v>
      </c>
      <c r="L36" s="60">
        <f>ROUND(((F36*G34+0.5*D36*E34)*I34/3600),5)</f>
        <v>3.0000000000000001E-5</v>
      </c>
      <c r="M36" s="60">
        <f>ROUND((((2*F36*G34+D36*E34)*H34/1000000)),5)</f>
        <v>1.0000000000000001E-5</v>
      </c>
    </row>
    <row r="37" spans="1:13" ht="12.95" customHeight="1" x14ac:dyDescent="0.25">
      <c r="A37" s="90"/>
      <c r="B37" s="89"/>
      <c r="C37" s="90"/>
      <c r="D37" s="19">
        <v>0.4</v>
      </c>
      <c r="E37" s="90"/>
      <c r="F37" s="19">
        <v>1.1000000000000001</v>
      </c>
      <c r="G37" s="90"/>
      <c r="H37" s="90"/>
      <c r="I37" s="90"/>
      <c r="J37" s="123" t="s">
        <v>177</v>
      </c>
      <c r="K37" s="122">
        <v>2732</v>
      </c>
      <c r="L37" s="60">
        <f>ROUND(((F37*G34+0.5*D37*E34)*I34/3600),5)</f>
        <v>1E-4</v>
      </c>
      <c r="M37" s="60">
        <f>ROUND((((2*F37*G34+D37*E34)*H34/1000000)),5)</f>
        <v>4.0000000000000003E-5</v>
      </c>
    </row>
    <row r="38" spans="1:13" ht="12.95" customHeight="1" x14ac:dyDescent="0.25">
      <c r="A38" s="90"/>
      <c r="B38" s="89"/>
      <c r="C38" s="90"/>
      <c r="D38" s="19">
        <v>0.04</v>
      </c>
      <c r="E38" s="90"/>
      <c r="F38" s="19">
        <v>0.4</v>
      </c>
      <c r="G38" s="90"/>
      <c r="H38" s="90"/>
      <c r="I38" s="90"/>
      <c r="J38" s="123" t="s">
        <v>61</v>
      </c>
      <c r="K38" s="122" t="s">
        <v>62</v>
      </c>
      <c r="L38" s="60">
        <f>ROUND(((F38*G34+0.5*D38*E34)*I34/3600),5)</f>
        <v>1.0000000000000001E-5</v>
      </c>
      <c r="M38" s="60">
        <f>ROUND((((2*F38*G34+D38*E34)*H34/1000000)),5)</f>
        <v>1.0000000000000001E-5</v>
      </c>
    </row>
    <row r="39" spans="1:13" ht="12.95" customHeight="1" x14ac:dyDescent="0.25">
      <c r="A39" s="90"/>
      <c r="B39" s="81"/>
      <c r="C39" s="83"/>
      <c r="D39" s="19">
        <v>3</v>
      </c>
      <c r="E39" s="83"/>
      <c r="F39" s="19">
        <v>7.5</v>
      </c>
      <c r="G39" s="83"/>
      <c r="H39" s="83"/>
      <c r="I39" s="83"/>
      <c r="J39" s="123" t="s">
        <v>65</v>
      </c>
      <c r="K39" s="122" t="s">
        <v>66</v>
      </c>
      <c r="L39" s="60">
        <f>ROUND(((F39*G34+0.5*D39*E34)*I34/3600),5)</f>
        <v>7.2999999999999996E-4</v>
      </c>
      <c r="M39" s="60">
        <f>ROUND((((2*F39*G34+D39*E34)*H34/1000000)),5)</f>
        <v>2.5999999999999998E-4</v>
      </c>
    </row>
    <row r="40" spans="1:13" ht="12.95" customHeight="1" x14ac:dyDescent="0.25">
      <c r="A40" s="35"/>
      <c r="B40" s="80" t="s">
        <v>310</v>
      </c>
      <c r="C40" s="60" t="s">
        <v>165</v>
      </c>
      <c r="D40" s="18">
        <v>0.6</v>
      </c>
      <c r="E40" s="80">
        <v>1.5</v>
      </c>
      <c r="F40" s="18">
        <v>3.5</v>
      </c>
      <c r="G40" s="82">
        <v>0.05</v>
      </c>
      <c r="H40" s="82">
        <v>50</v>
      </c>
      <c r="I40" s="82">
        <v>1</v>
      </c>
      <c r="J40" s="121" t="s">
        <v>48</v>
      </c>
      <c r="K40" s="122" t="s">
        <v>49</v>
      </c>
      <c r="L40" s="60">
        <f>ROUND((((F40*G40+0.5*D40*E40)*I40/3600)*0.8),5)</f>
        <v>1.3999999999999999E-4</v>
      </c>
      <c r="M40" s="60">
        <f>ROUND((((2*F40*G40+D40*E40)*H40/1000000)*0.8),5)</f>
        <v>5.0000000000000002E-5</v>
      </c>
    </row>
    <row r="41" spans="1:13" ht="12.95" customHeight="1" x14ac:dyDescent="0.25">
      <c r="A41" s="35"/>
      <c r="B41" s="89" t="s">
        <v>311</v>
      </c>
      <c r="C41" s="89" t="s">
        <v>323</v>
      </c>
      <c r="D41" s="83"/>
      <c r="E41" s="90"/>
      <c r="F41" s="83"/>
      <c r="G41" s="90"/>
      <c r="H41" s="90"/>
      <c r="I41" s="90"/>
      <c r="J41" s="123" t="s">
        <v>51</v>
      </c>
      <c r="K41" s="122" t="s">
        <v>52</v>
      </c>
      <c r="L41" s="60">
        <f>ROUND((((F40*G40+0.5*D40*E40)*I40/3600)*0.13),5)</f>
        <v>2.0000000000000002E-5</v>
      </c>
      <c r="M41" s="60">
        <f>ROUND((((2*F40*G40+D40*E40)*H40/1000000)*0.13),5)</f>
        <v>1.0000000000000001E-5</v>
      </c>
    </row>
    <row r="42" spans="1:13" ht="12.95" customHeight="1" x14ac:dyDescent="0.25">
      <c r="A42" s="35"/>
      <c r="B42" s="89" t="s">
        <v>312</v>
      </c>
      <c r="C42" s="90"/>
      <c r="D42" s="19">
        <v>0.09</v>
      </c>
      <c r="E42" s="90"/>
      <c r="F42" s="19">
        <v>0.45</v>
      </c>
      <c r="G42" s="90"/>
      <c r="H42" s="90"/>
      <c r="I42" s="90"/>
      <c r="J42" s="123" t="s">
        <v>56</v>
      </c>
      <c r="K42" s="122" t="s">
        <v>57</v>
      </c>
      <c r="L42" s="60">
        <f>ROUND(((F42*G40+0.5*D42*E40)*I40/3600),5)</f>
        <v>3.0000000000000001E-5</v>
      </c>
      <c r="M42" s="60">
        <f>ROUND((((2*F42*G40+D42*E40)*H40/1000000)),5)</f>
        <v>1.0000000000000001E-5</v>
      </c>
    </row>
    <row r="43" spans="1:13" ht="12.95" customHeight="1" x14ac:dyDescent="0.25">
      <c r="A43" s="35"/>
      <c r="B43" s="89"/>
      <c r="C43" s="90"/>
      <c r="D43" s="19">
        <v>0.38</v>
      </c>
      <c r="E43" s="90"/>
      <c r="F43" s="19">
        <v>0.9</v>
      </c>
      <c r="G43" s="90"/>
      <c r="H43" s="90"/>
      <c r="I43" s="90"/>
      <c r="J43" s="123" t="s">
        <v>177</v>
      </c>
      <c r="K43" s="122">
        <v>2732</v>
      </c>
      <c r="L43" s="60">
        <f>ROUND(((F43*G40+0.5*D43*E40)*I40/3600),5)</f>
        <v>9.0000000000000006E-5</v>
      </c>
      <c r="M43" s="60">
        <f>ROUND((((2*F43*G40+D43*E40)*H40/1000000)),5)</f>
        <v>3.0000000000000001E-5</v>
      </c>
    </row>
    <row r="44" spans="1:13" ht="12.95" customHeight="1" x14ac:dyDescent="0.25">
      <c r="A44" s="35"/>
      <c r="B44" s="89"/>
      <c r="C44" s="90"/>
      <c r="D44" s="19">
        <v>0.03</v>
      </c>
      <c r="E44" s="90"/>
      <c r="F44" s="19">
        <v>0.25</v>
      </c>
      <c r="G44" s="90"/>
      <c r="H44" s="90"/>
      <c r="I44" s="90"/>
      <c r="J44" s="123" t="s">
        <v>61</v>
      </c>
      <c r="K44" s="122" t="s">
        <v>62</v>
      </c>
      <c r="L44" s="60">
        <f>ROUND(((F44*G40+0.5*D44*E40)*I40/3600),5)</f>
        <v>1.0000000000000001E-5</v>
      </c>
      <c r="M44" s="60">
        <f>ROUND((((2*F44*G40+D44*E40)*H40/1000000)),6)</f>
        <v>3.9999999999999998E-6</v>
      </c>
    </row>
    <row r="45" spans="1:13" ht="12.95" customHeight="1" x14ac:dyDescent="0.25">
      <c r="A45" s="35"/>
      <c r="B45" s="81"/>
      <c r="C45" s="83"/>
      <c r="D45" s="19">
        <v>2.8</v>
      </c>
      <c r="E45" s="83"/>
      <c r="F45" s="19">
        <v>5.0999999999999996</v>
      </c>
      <c r="G45" s="83"/>
      <c r="H45" s="83"/>
      <c r="I45" s="83"/>
      <c r="J45" s="123" t="s">
        <v>65</v>
      </c>
      <c r="K45" s="122" t="s">
        <v>66</v>
      </c>
      <c r="L45" s="60">
        <f>ROUND(((F45*G40+0.5*D45*E40)*I40/3600),5)</f>
        <v>6.4999999999999997E-4</v>
      </c>
      <c r="M45" s="60">
        <f>ROUND((((2*F45*G40+D45*E40)*H40/1000000)),5)</f>
        <v>2.4000000000000001E-4</v>
      </c>
    </row>
    <row r="46" spans="1:13" ht="12.95" customHeight="1" x14ac:dyDescent="0.25">
      <c r="A46" s="35"/>
      <c r="B46" s="80" t="s">
        <v>310</v>
      </c>
      <c r="C46" s="60" t="s">
        <v>165</v>
      </c>
      <c r="D46" s="18">
        <v>0.4</v>
      </c>
      <c r="E46" s="80">
        <v>1.5</v>
      </c>
      <c r="F46" s="18">
        <v>2.2000000000000002</v>
      </c>
      <c r="G46" s="82">
        <v>0.05</v>
      </c>
      <c r="H46" s="82">
        <v>50</v>
      </c>
      <c r="I46" s="82">
        <v>1</v>
      </c>
      <c r="J46" s="121" t="s">
        <v>48</v>
      </c>
      <c r="K46" s="122" t="s">
        <v>49</v>
      </c>
      <c r="L46" s="60">
        <f>ROUND((((F46*G46+0.5*D46*E46)*I46/3600)*0.8),5)</f>
        <v>9.0000000000000006E-5</v>
      </c>
      <c r="M46" s="60">
        <f>ROUND((((2*F46*G46+D46*E46)*H46/1000000)*0.8),5)</f>
        <v>3.0000000000000001E-5</v>
      </c>
    </row>
    <row r="47" spans="1:13" ht="12.95" customHeight="1" x14ac:dyDescent="0.25">
      <c r="A47" s="35"/>
      <c r="B47" s="89" t="s">
        <v>311</v>
      </c>
      <c r="C47" s="89" t="s">
        <v>325</v>
      </c>
      <c r="D47" s="83"/>
      <c r="E47" s="90"/>
      <c r="F47" s="83"/>
      <c r="G47" s="90"/>
      <c r="H47" s="90"/>
      <c r="I47" s="90"/>
      <c r="J47" s="123" t="s">
        <v>51</v>
      </c>
      <c r="K47" s="122" t="s">
        <v>52</v>
      </c>
      <c r="L47" s="60">
        <f>ROUND((((F46*G46+0.5*D46*E46)*I46/3600)*0.13),5)</f>
        <v>1.0000000000000001E-5</v>
      </c>
      <c r="M47" s="60">
        <f>ROUND((((2*F46*G46+D46*E46)*H46/1000000)*0.13),5)</f>
        <v>1.0000000000000001E-5</v>
      </c>
    </row>
    <row r="48" spans="1:13" ht="12.95" customHeight="1" x14ac:dyDescent="0.25">
      <c r="A48" s="35"/>
      <c r="B48" s="89" t="s">
        <v>312</v>
      </c>
      <c r="C48" s="90"/>
      <c r="D48" s="19">
        <v>5.3999999999999999E-2</v>
      </c>
      <c r="E48" s="90"/>
      <c r="F48" s="19">
        <v>0.33</v>
      </c>
      <c r="G48" s="90"/>
      <c r="H48" s="90"/>
      <c r="I48" s="90"/>
      <c r="J48" s="123" t="s">
        <v>56</v>
      </c>
      <c r="K48" s="122" t="s">
        <v>57</v>
      </c>
      <c r="L48" s="60">
        <f>ROUND(((F48*G46+0.5*D48*E46)*I46/3600),5)</f>
        <v>2.0000000000000002E-5</v>
      </c>
      <c r="M48" s="60">
        <f>ROUND((((2*F48*G46+D48*E46)*H46/1000000)),5)</f>
        <v>1.0000000000000001E-5</v>
      </c>
    </row>
    <row r="49" spans="1:16" ht="12.95" customHeight="1" x14ac:dyDescent="0.25">
      <c r="A49" s="35"/>
      <c r="B49" s="89"/>
      <c r="C49" s="90"/>
      <c r="D49" s="19">
        <v>0.2</v>
      </c>
      <c r="E49" s="90"/>
      <c r="F49" s="19">
        <v>0.6</v>
      </c>
      <c r="G49" s="90"/>
      <c r="H49" s="90"/>
      <c r="I49" s="90"/>
      <c r="J49" s="123" t="s">
        <v>177</v>
      </c>
      <c r="K49" s="122">
        <v>2732</v>
      </c>
      <c r="L49" s="60">
        <f>ROUND(((F49*G46+0.5*D49*E46)*I46/3600),5)</f>
        <v>5.0000000000000002E-5</v>
      </c>
      <c r="M49" s="60">
        <f>ROUND((((2*F49*G46+D49*E46)*H46/1000000)),5)</f>
        <v>2.0000000000000002E-5</v>
      </c>
    </row>
    <row r="50" spans="1:16" ht="12.95" customHeight="1" x14ac:dyDescent="0.25">
      <c r="A50" s="35"/>
      <c r="B50" s="89"/>
      <c r="C50" s="90"/>
      <c r="D50" s="19">
        <v>0.01</v>
      </c>
      <c r="E50" s="90"/>
      <c r="F50" s="19">
        <v>0.15</v>
      </c>
      <c r="G50" s="90"/>
      <c r="H50" s="90"/>
      <c r="I50" s="90"/>
      <c r="J50" s="123" t="s">
        <v>61</v>
      </c>
      <c r="K50" s="122" t="s">
        <v>62</v>
      </c>
      <c r="L50" s="60">
        <f>ROUND(((F50*G46+0.5*D50*E46)*I46/3600),6)</f>
        <v>3.9999999999999998E-6</v>
      </c>
      <c r="M50" s="60">
        <f>ROUND((((2*F50*G46+D50*E46)*H46/1000000)),6)</f>
        <v>1.9999999999999999E-6</v>
      </c>
    </row>
    <row r="51" spans="1:16" ht="12.95" customHeight="1" x14ac:dyDescent="0.25">
      <c r="A51" s="35"/>
      <c r="B51" s="81"/>
      <c r="C51" s="83"/>
      <c r="D51" s="19">
        <v>1.5</v>
      </c>
      <c r="E51" s="83"/>
      <c r="F51" s="19">
        <v>2.2999999999999998</v>
      </c>
      <c r="G51" s="83"/>
      <c r="H51" s="83"/>
      <c r="I51" s="83"/>
      <c r="J51" s="123" t="s">
        <v>65</v>
      </c>
      <c r="K51" s="122" t="s">
        <v>66</v>
      </c>
      <c r="L51" s="60">
        <f>ROUND(((F51*G46+0.5*D51*E46)*I46/3600),5)</f>
        <v>3.4000000000000002E-4</v>
      </c>
      <c r="M51" s="60">
        <f>ROUND((((2*F51*G46+D51*E46)*H46/1000000)),5)</f>
        <v>1.2E-4</v>
      </c>
    </row>
    <row r="52" spans="1:16" ht="12.95" customHeight="1" x14ac:dyDescent="0.25">
      <c r="A52" s="35"/>
      <c r="B52" s="80" t="s">
        <v>310</v>
      </c>
      <c r="C52" s="60" t="s">
        <v>165</v>
      </c>
      <c r="D52" s="18">
        <v>0.5</v>
      </c>
      <c r="E52" s="80">
        <v>1.5</v>
      </c>
      <c r="F52" s="18">
        <v>2.6</v>
      </c>
      <c r="G52" s="82">
        <v>0.05</v>
      </c>
      <c r="H52" s="82">
        <v>50</v>
      </c>
      <c r="I52" s="82">
        <v>1</v>
      </c>
      <c r="J52" s="121" t="s">
        <v>48</v>
      </c>
      <c r="K52" s="122" t="s">
        <v>49</v>
      </c>
      <c r="L52" s="60">
        <f>ROUND((((F52*G52+0.5*D52*E52)*I52/3600)*0.8),5)</f>
        <v>1.1E-4</v>
      </c>
      <c r="M52" s="60">
        <f>ROUND((((2*F52*G52+D52*E52)*H52/1000000)*0.8),5)</f>
        <v>4.0000000000000003E-5</v>
      </c>
    </row>
    <row r="53" spans="1:16" ht="12.95" customHeight="1" x14ac:dyDescent="0.25">
      <c r="A53" s="35"/>
      <c r="B53" s="89" t="s">
        <v>311</v>
      </c>
      <c r="C53" s="89" t="s">
        <v>326</v>
      </c>
      <c r="D53" s="83"/>
      <c r="E53" s="90"/>
      <c r="F53" s="83"/>
      <c r="G53" s="90"/>
      <c r="H53" s="90"/>
      <c r="I53" s="90"/>
      <c r="J53" s="123" t="s">
        <v>51</v>
      </c>
      <c r="K53" s="122" t="s">
        <v>52</v>
      </c>
      <c r="L53" s="60">
        <f>ROUND((((F52*G52+0.5*D52*E52)*I52/3600)*0.13),5)</f>
        <v>2.0000000000000002E-5</v>
      </c>
      <c r="M53" s="60">
        <f>ROUND((((2*F52*G52+D52*E52)*H52/1000000)*0.13),5)</f>
        <v>1.0000000000000001E-5</v>
      </c>
    </row>
    <row r="54" spans="1:16" ht="12.95" customHeight="1" x14ac:dyDescent="0.25">
      <c r="A54" s="35"/>
      <c r="B54" s="89" t="s">
        <v>312</v>
      </c>
      <c r="C54" s="90"/>
      <c r="D54" s="19">
        <v>7.1999999999999995E-2</v>
      </c>
      <c r="E54" s="90"/>
      <c r="F54" s="19">
        <v>0.39</v>
      </c>
      <c r="G54" s="90"/>
      <c r="H54" s="90"/>
      <c r="I54" s="90"/>
      <c r="J54" s="123" t="s">
        <v>56</v>
      </c>
      <c r="K54" s="122" t="s">
        <v>57</v>
      </c>
      <c r="L54" s="60">
        <f>ROUND(((F54*G52+0.5*D54*E52)*I52/3600),5)</f>
        <v>2.0000000000000002E-5</v>
      </c>
      <c r="M54" s="60">
        <f>ROUND((((2*F54*G52+D54*E52)*H52/1000000)),5)</f>
        <v>1.0000000000000001E-5</v>
      </c>
    </row>
    <row r="55" spans="1:16" ht="12.95" customHeight="1" x14ac:dyDescent="0.25">
      <c r="A55" s="35"/>
      <c r="B55" s="89"/>
      <c r="C55" s="90"/>
      <c r="D55" s="19">
        <v>0.3</v>
      </c>
      <c r="E55" s="90"/>
      <c r="F55" s="19">
        <v>0.7</v>
      </c>
      <c r="G55" s="90"/>
      <c r="H55" s="90"/>
      <c r="I55" s="90"/>
      <c r="J55" s="123" t="s">
        <v>177</v>
      </c>
      <c r="K55" s="122">
        <v>2732</v>
      </c>
      <c r="L55" s="60">
        <f>ROUND(((F55*G52+0.5*D55*E52)*I52/3600),5)</f>
        <v>6.9999999999999994E-5</v>
      </c>
      <c r="M55" s="60">
        <f>ROUND((((2*F55*G52+D55*E52)*H52/1000000)),5)</f>
        <v>3.0000000000000001E-5</v>
      </c>
    </row>
    <row r="56" spans="1:16" ht="12.95" customHeight="1" x14ac:dyDescent="0.25">
      <c r="A56" s="35"/>
      <c r="B56" s="89"/>
      <c r="C56" s="90"/>
      <c r="D56" s="19">
        <v>0.02</v>
      </c>
      <c r="E56" s="90"/>
      <c r="F56" s="19">
        <v>0.2</v>
      </c>
      <c r="G56" s="90"/>
      <c r="H56" s="90"/>
      <c r="I56" s="90"/>
      <c r="J56" s="123" t="s">
        <v>61</v>
      </c>
      <c r="K56" s="122" t="s">
        <v>62</v>
      </c>
      <c r="L56" s="60">
        <f>ROUND(((F56*G52+0.5*D56*E52)*I52/3600),5)</f>
        <v>1.0000000000000001E-5</v>
      </c>
      <c r="M56" s="60">
        <f>ROUND((((2*F56*G52+D56*E52)*H52/1000000)),6)</f>
        <v>3.0000000000000001E-6</v>
      </c>
    </row>
    <row r="57" spans="1:16" ht="12.95" customHeight="1" x14ac:dyDescent="0.25">
      <c r="A57" s="37"/>
      <c r="B57" s="81"/>
      <c r="C57" s="83"/>
      <c r="D57" s="19">
        <v>1.9</v>
      </c>
      <c r="E57" s="83"/>
      <c r="F57" s="19">
        <v>3.5</v>
      </c>
      <c r="G57" s="83"/>
      <c r="H57" s="83"/>
      <c r="I57" s="83"/>
      <c r="J57" s="123" t="s">
        <v>65</v>
      </c>
      <c r="K57" s="122" t="s">
        <v>66</v>
      </c>
      <c r="L57" s="60">
        <f>ROUND(((F57*G52+0.5*D57*E52)*I52/3600),5)</f>
        <v>4.4000000000000002E-4</v>
      </c>
      <c r="M57" s="60">
        <f>ROUND((((2*F57*G52+D57*E52)*H52/1000000)),5)</f>
        <v>1.6000000000000001E-4</v>
      </c>
    </row>
    <row r="58" spans="1:16" ht="12.95" customHeight="1" x14ac:dyDescent="0.25">
      <c r="A58" s="1067" t="s">
        <v>328</v>
      </c>
      <c r="B58" s="1068"/>
      <c r="C58" s="1068"/>
      <c r="D58" s="1068"/>
      <c r="E58" s="1068"/>
      <c r="F58" s="1068"/>
      <c r="G58" s="1068"/>
      <c r="H58" s="1068"/>
      <c r="I58" s="1069"/>
      <c r="J58" s="129" t="s">
        <v>48</v>
      </c>
      <c r="K58" s="130" t="s">
        <v>49</v>
      </c>
      <c r="L58" s="131">
        <f>MAX(L34,L40,L46,L52)</f>
        <v>2.2000000000000001E-4</v>
      </c>
      <c r="M58" s="131">
        <f>M34+M40+M46+M52</f>
        <v>2.0000000000000001E-4</v>
      </c>
    </row>
    <row r="59" spans="1:16" ht="12.95" customHeight="1" x14ac:dyDescent="0.25">
      <c r="A59" s="1588"/>
      <c r="B59" s="1589"/>
      <c r="C59" s="1589"/>
      <c r="D59" s="1589"/>
      <c r="E59" s="1589"/>
      <c r="F59" s="1589"/>
      <c r="G59" s="1589"/>
      <c r="H59" s="1589"/>
      <c r="I59" s="1590"/>
      <c r="J59" s="129" t="s">
        <v>51</v>
      </c>
      <c r="K59" s="130" t="s">
        <v>52</v>
      </c>
      <c r="L59" s="131">
        <f t="shared" ref="L59:L63" si="0">MAX(L35,L41,L47,L53)</f>
        <v>4.0000000000000003E-5</v>
      </c>
      <c r="M59" s="131">
        <f t="shared" ref="M59:M63" si="1">M35+M41+M47+M53</f>
        <v>4.0000000000000003E-5</v>
      </c>
    </row>
    <row r="60" spans="1:16" ht="12.95" customHeight="1" x14ac:dyDescent="0.25">
      <c r="A60" s="1588"/>
      <c r="B60" s="1589"/>
      <c r="C60" s="1589"/>
      <c r="D60" s="1589"/>
      <c r="E60" s="1589"/>
      <c r="F60" s="1589"/>
      <c r="G60" s="1589"/>
      <c r="H60" s="1589"/>
      <c r="I60" s="1590"/>
      <c r="J60" s="129" t="s">
        <v>56</v>
      </c>
      <c r="K60" s="130" t="s">
        <v>57</v>
      </c>
      <c r="L60" s="131">
        <f t="shared" si="0"/>
        <v>3.0000000000000001E-5</v>
      </c>
      <c r="M60" s="131">
        <f t="shared" si="1"/>
        <v>4.0000000000000003E-5</v>
      </c>
    </row>
    <row r="61" spans="1:16" ht="12.95" customHeight="1" x14ac:dyDescent="0.25">
      <c r="A61" s="1588"/>
      <c r="B61" s="1589"/>
      <c r="C61" s="1589"/>
      <c r="D61" s="1589"/>
      <c r="E61" s="1589"/>
      <c r="F61" s="1589"/>
      <c r="G61" s="1589"/>
      <c r="H61" s="1589"/>
      <c r="I61" s="1590"/>
      <c r="J61" s="129" t="s">
        <v>177</v>
      </c>
      <c r="K61" s="130">
        <v>2732</v>
      </c>
      <c r="L61" s="131">
        <f t="shared" si="0"/>
        <v>1E-4</v>
      </c>
      <c r="M61" s="131">
        <f t="shared" si="1"/>
        <v>1.2E-4</v>
      </c>
    </row>
    <row r="62" spans="1:16" ht="12.95" customHeight="1" x14ac:dyDescent="0.25">
      <c r="A62" s="1588"/>
      <c r="B62" s="1589"/>
      <c r="C62" s="1589"/>
      <c r="D62" s="1589"/>
      <c r="E62" s="1589"/>
      <c r="F62" s="1589"/>
      <c r="G62" s="1589"/>
      <c r="H62" s="1589"/>
      <c r="I62" s="1590"/>
      <c r="J62" s="129" t="s">
        <v>61</v>
      </c>
      <c r="K62" s="130" t="s">
        <v>62</v>
      </c>
      <c r="L62" s="131">
        <f t="shared" si="0"/>
        <v>1.0000000000000001E-5</v>
      </c>
      <c r="M62" s="131">
        <f t="shared" si="1"/>
        <v>1.9000000000000001E-5</v>
      </c>
    </row>
    <row r="63" spans="1:16" ht="12.95" customHeight="1" x14ac:dyDescent="0.25">
      <c r="A63" s="1070"/>
      <c r="B63" s="1071"/>
      <c r="C63" s="1071"/>
      <c r="D63" s="1071"/>
      <c r="E63" s="1071"/>
      <c r="F63" s="1071"/>
      <c r="G63" s="1071"/>
      <c r="H63" s="1071"/>
      <c r="I63" s="1072"/>
      <c r="J63" s="129" t="s">
        <v>65</v>
      </c>
      <c r="K63" s="130" t="s">
        <v>66</v>
      </c>
      <c r="L63" s="131">
        <f t="shared" si="0"/>
        <v>7.2999999999999996E-4</v>
      </c>
      <c r="M63" s="131">
        <f t="shared" si="1"/>
        <v>7.7999999999999999E-4</v>
      </c>
      <c r="N63" s="61">
        <f>SUM(L58:L63)</f>
        <v>1.1299999999999999E-3</v>
      </c>
      <c r="O63" s="61">
        <f>SUM(M58:M63)</f>
        <v>1.199E-3</v>
      </c>
      <c r="P63" s="61" t="s">
        <v>1283</v>
      </c>
    </row>
  </sheetData>
  <mergeCells count="32">
    <mergeCell ref="A58:I63"/>
    <mergeCell ref="C28:C29"/>
    <mergeCell ref="A33:M33"/>
    <mergeCell ref="J28:J30"/>
    <mergeCell ref="K28:K30"/>
    <mergeCell ref="L28:L30"/>
    <mergeCell ref="M28:M30"/>
    <mergeCell ref="A32:M32"/>
    <mergeCell ref="D28:D29"/>
    <mergeCell ref="E28:E29"/>
    <mergeCell ref="F28:F29"/>
    <mergeCell ref="G28:G30"/>
    <mergeCell ref="H28:H30"/>
    <mergeCell ref="I28:I30"/>
    <mergeCell ref="A28:A30"/>
    <mergeCell ref="B28:B30"/>
    <mergeCell ref="A1:M1"/>
    <mergeCell ref="A23:M23"/>
    <mergeCell ref="A25:M25"/>
    <mergeCell ref="A8:O8"/>
    <mergeCell ref="A11:O11"/>
    <mergeCell ref="A21:O21"/>
    <mergeCell ref="A15:O15"/>
    <mergeCell ref="A6:N6"/>
    <mergeCell ref="A12:O12"/>
    <mergeCell ref="A13:O13"/>
    <mergeCell ref="A14:O14"/>
    <mergeCell ref="A17:O17"/>
    <mergeCell ref="A19:O19"/>
    <mergeCell ref="A3:N3"/>
    <mergeCell ref="A4:N4"/>
    <mergeCell ref="A5:O5"/>
  </mergeCells>
  <pageMargins left="0.31496062992125984" right="0.31496062992125984" top="0.78740157480314965" bottom="0.55118110236220474" header="0.31496062992125984" footer="0.31496062992125984"/>
  <pageSetup paperSize="9" firstPageNumber="136" orientation="landscape" useFirstPageNumber="1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3"/>
  <sheetViews>
    <sheetView view="pageBreakPreview" zoomScaleNormal="100" zoomScaleSheetLayoutView="100" workbookViewId="0">
      <selection activeCell="M26" sqref="M26"/>
    </sheetView>
  </sheetViews>
  <sheetFormatPr defaultColWidth="6.7109375" defaultRowHeight="15.75" x14ac:dyDescent="0.25"/>
  <cols>
    <col min="1" max="1" width="4.42578125" style="325" customWidth="1"/>
    <col min="2" max="7" width="6.7109375" style="458"/>
    <col min="8" max="8" width="9" style="458" customWidth="1"/>
    <col min="9" max="9" width="6.7109375" style="458"/>
    <col min="10" max="10" width="5.5703125" style="458" customWidth="1"/>
    <col min="11" max="11" width="6.42578125" style="458" customWidth="1"/>
    <col min="12" max="12" width="8.42578125" style="458" customWidth="1"/>
    <col min="13" max="13" width="6.28515625" style="325" customWidth="1"/>
    <col min="14" max="16384" width="6.7109375" style="325"/>
  </cols>
  <sheetData>
    <row r="1" spans="1:13" x14ac:dyDescent="0.25">
      <c r="A1" s="460"/>
      <c r="B1" s="461"/>
      <c r="C1" s="461"/>
      <c r="D1" s="461" t="s">
        <v>784</v>
      </c>
      <c r="E1" s="461"/>
      <c r="F1" s="461"/>
      <c r="G1" s="461"/>
      <c r="H1" s="461"/>
      <c r="I1" s="461"/>
      <c r="J1" s="461"/>
      <c r="K1" s="461"/>
    </row>
    <row r="2" spans="1:13" x14ac:dyDescent="0.25">
      <c r="A2" s="460"/>
      <c r="B2" s="461"/>
      <c r="C2" s="461"/>
      <c r="D2" s="461"/>
      <c r="E2" s="461"/>
      <c r="F2" s="461"/>
      <c r="G2" s="461"/>
      <c r="H2" s="461"/>
      <c r="I2" s="461"/>
      <c r="J2" s="461"/>
      <c r="K2" s="461"/>
      <c r="M2" s="325" t="s">
        <v>1128</v>
      </c>
    </row>
    <row r="3" spans="1:13" ht="30" customHeight="1" x14ac:dyDescent="0.25">
      <c r="A3" s="325" t="s">
        <v>785</v>
      </c>
      <c r="B3" s="996" t="s">
        <v>1425</v>
      </c>
      <c r="C3" s="996"/>
      <c r="D3" s="996"/>
      <c r="E3" s="996"/>
      <c r="F3" s="996"/>
      <c r="G3" s="996"/>
      <c r="H3" s="996"/>
      <c r="I3" s="996"/>
      <c r="J3" s="996"/>
      <c r="K3" s="996"/>
      <c r="L3" s="996"/>
      <c r="M3" s="325">
        <v>16</v>
      </c>
    </row>
    <row r="4" spans="1:13" ht="30" customHeight="1" x14ac:dyDescent="0.25">
      <c r="A4" s="325" t="s">
        <v>786</v>
      </c>
      <c r="B4" s="996" t="s">
        <v>1129</v>
      </c>
      <c r="C4" s="996"/>
      <c r="D4" s="996"/>
      <c r="E4" s="996"/>
      <c r="F4" s="996"/>
      <c r="G4" s="996"/>
      <c r="H4" s="996"/>
      <c r="I4" s="996"/>
      <c r="J4" s="996"/>
      <c r="K4" s="996"/>
      <c r="L4" s="996"/>
      <c r="M4" s="450">
        <v>22</v>
      </c>
    </row>
    <row r="5" spans="1:13" ht="30" customHeight="1" x14ac:dyDescent="0.25">
      <c r="A5" s="325" t="s">
        <v>787</v>
      </c>
      <c r="B5" s="996" t="s">
        <v>1130</v>
      </c>
      <c r="C5" s="996"/>
      <c r="D5" s="996"/>
      <c r="E5" s="996"/>
      <c r="F5" s="996"/>
      <c r="G5" s="996"/>
      <c r="H5" s="996"/>
      <c r="I5" s="996"/>
      <c r="J5" s="996"/>
      <c r="K5" s="996"/>
      <c r="L5" s="996"/>
      <c r="M5" s="450">
        <v>24</v>
      </c>
    </row>
    <row r="6" spans="1:13" ht="30" customHeight="1" x14ac:dyDescent="0.25">
      <c r="A6" s="325" t="s">
        <v>788</v>
      </c>
      <c r="B6" s="996" t="s">
        <v>1131</v>
      </c>
      <c r="C6" s="996"/>
      <c r="D6" s="996"/>
      <c r="E6" s="996"/>
      <c r="F6" s="996"/>
      <c r="G6" s="996"/>
      <c r="H6" s="996"/>
      <c r="I6" s="996"/>
      <c r="J6" s="996"/>
      <c r="K6" s="996"/>
      <c r="L6" s="996"/>
      <c r="M6" s="450">
        <v>26</v>
      </c>
    </row>
    <row r="7" spans="1:13" ht="30" customHeight="1" x14ac:dyDescent="0.25">
      <c r="A7" s="325" t="s">
        <v>1090</v>
      </c>
      <c r="B7" s="996" t="s">
        <v>1132</v>
      </c>
      <c r="C7" s="996"/>
      <c r="D7" s="996"/>
      <c r="E7" s="996"/>
      <c r="F7" s="996"/>
      <c r="G7" s="996"/>
      <c r="H7" s="996"/>
      <c r="I7" s="996"/>
      <c r="J7" s="996"/>
      <c r="K7" s="996"/>
      <c r="L7" s="996"/>
      <c r="M7" s="450">
        <v>31</v>
      </c>
    </row>
    <row r="8" spans="1:13" ht="30" customHeight="1" x14ac:dyDescent="0.25">
      <c r="A8" s="325" t="s">
        <v>1095</v>
      </c>
      <c r="B8" s="996" t="s">
        <v>1133</v>
      </c>
      <c r="C8" s="996"/>
      <c r="D8" s="996"/>
      <c r="E8" s="996"/>
      <c r="F8" s="996"/>
      <c r="G8" s="996"/>
      <c r="H8" s="996"/>
      <c r="I8" s="996"/>
      <c r="J8" s="996"/>
      <c r="K8" s="996"/>
      <c r="L8" s="996"/>
      <c r="M8" s="450">
        <v>33</v>
      </c>
    </row>
    <row r="9" spans="1:13" ht="30" customHeight="1" x14ac:dyDescent="0.25">
      <c r="A9" s="325" t="s">
        <v>1096</v>
      </c>
      <c r="B9" s="996" t="s">
        <v>1134</v>
      </c>
      <c r="C9" s="996"/>
      <c r="D9" s="996"/>
      <c r="E9" s="996"/>
      <c r="F9" s="996"/>
      <c r="G9" s="996"/>
      <c r="H9" s="996"/>
      <c r="I9" s="996"/>
      <c r="J9" s="996"/>
      <c r="K9" s="996"/>
      <c r="L9" s="996"/>
      <c r="M9" s="450">
        <v>35</v>
      </c>
    </row>
    <row r="10" spans="1:13" ht="30" customHeight="1" x14ac:dyDescent="0.25">
      <c r="A10" s="325" t="s">
        <v>1097</v>
      </c>
      <c r="B10" s="996" t="s">
        <v>1135</v>
      </c>
      <c r="C10" s="996"/>
      <c r="D10" s="996"/>
      <c r="E10" s="996"/>
      <c r="F10" s="996"/>
      <c r="G10" s="996"/>
      <c r="H10" s="996"/>
      <c r="I10" s="996"/>
      <c r="J10" s="996"/>
      <c r="K10" s="996"/>
      <c r="L10" s="996"/>
      <c r="M10" s="450">
        <v>37</v>
      </c>
    </row>
    <row r="11" spans="1:13" ht="30" customHeight="1" x14ac:dyDescent="0.25">
      <c r="A11" s="325" t="s">
        <v>1098</v>
      </c>
      <c r="B11" s="996" t="s">
        <v>1136</v>
      </c>
      <c r="C11" s="996"/>
      <c r="D11" s="996"/>
      <c r="E11" s="996"/>
      <c r="F11" s="996"/>
      <c r="G11" s="996"/>
      <c r="H11" s="996"/>
      <c r="I11" s="996"/>
      <c r="J11" s="996"/>
      <c r="K11" s="996"/>
      <c r="L11" s="996"/>
      <c r="M11" s="450">
        <v>39</v>
      </c>
    </row>
    <row r="12" spans="1:13" ht="30" customHeight="1" x14ac:dyDescent="0.25">
      <c r="A12" s="720" t="s">
        <v>1495</v>
      </c>
      <c r="B12" s="996" t="s">
        <v>1496</v>
      </c>
      <c r="C12" s="996"/>
      <c r="D12" s="996"/>
      <c r="E12" s="996"/>
      <c r="F12" s="996"/>
      <c r="G12" s="996"/>
      <c r="H12" s="996"/>
      <c r="I12" s="996"/>
      <c r="J12" s="996"/>
      <c r="K12" s="996"/>
      <c r="L12" s="996"/>
      <c r="M12" s="450">
        <v>39</v>
      </c>
    </row>
    <row r="13" spans="1:13" ht="30" customHeight="1" x14ac:dyDescent="0.25">
      <c r="A13" s="720" t="s">
        <v>1498</v>
      </c>
      <c r="B13" s="996" t="s">
        <v>1497</v>
      </c>
      <c r="C13" s="996"/>
      <c r="D13" s="996"/>
      <c r="E13" s="996"/>
      <c r="F13" s="996"/>
      <c r="G13" s="996"/>
      <c r="H13" s="996"/>
      <c r="I13" s="996"/>
      <c r="J13" s="996"/>
      <c r="K13" s="996"/>
      <c r="L13" s="996"/>
      <c r="M13" s="450">
        <v>41</v>
      </c>
    </row>
    <row r="14" spans="1:13" ht="30" customHeight="1" x14ac:dyDescent="0.25">
      <c r="A14" s="325" t="s">
        <v>1100</v>
      </c>
      <c r="B14" s="996" t="s">
        <v>1419</v>
      </c>
      <c r="C14" s="996"/>
      <c r="D14" s="996"/>
      <c r="E14" s="996"/>
      <c r="F14" s="996"/>
      <c r="G14" s="996"/>
      <c r="H14" s="996"/>
      <c r="I14" s="996"/>
      <c r="J14" s="996"/>
      <c r="K14" s="996"/>
      <c r="L14" s="996"/>
      <c r="M14" s="450">
        <v>43</v>
      </c>
    </row>
    <row r="15" spans="1:13" ht="30" customHeight="1" x14ac:dyDescent="0.25">
      <c r="A15" s="325" t="s">
        <v>1101</v>
      </c>
      <c r="B15" s="996" t="s">
        <v>1147</v>
      </c>
      <c r="C15" s="996"/>
      <c r="D15" s="996"/>
      <c r="E15" s="996"/>
      <c r="F15" s="996"/>
      <c r="G15" s="996"/>
      <c r="H15" s="996"/>
      <c r="I15" s="996"/>
      <c r="J15" s="996"/>
      <c r="K15" s="996"/>
      <c r="L15" s="996"/>
      <c r="M15" s="450">
        <v>45</v>
      </c>
    </row>
    <row r="16" spans="1:13" ht="30" customHeight="1" x14ac:dyDescent="0.25">
      <c r="A16" s="357" t="s">
        <v>1106</v>
      </c>
      <c r="B16" s="996" t="s">
        <v>1137</v>
      </c>
      <c r="C16" s="996"/>
      <c r="D16" s="996"/>
      <c r="E16" s="996"/>
      <c r="F16" s="996"/>
      <c r="G16" s="996"/>
      <c r="H16" s="996"/>
      <c r="I16" s="996"/>
      <c r="J16" s="996"/>
      <c r="K16" s="996"/>
      <c r="L16" s="996"/>
      <c r="M16" s="325">
        <v>46</v>
      </c>
    </row>
    <row r="17" spans="1:13" ht="30" customHeight="1" x14ac:dyDescent="0.25">
      <c r="A17" s="357" t="s">
        <v>1107</v>
      </c>
      <c r="B17" s="996" t="s">
        <v>1138</v>
      </c>
      <c r="C17" s="996"/>
      <c r="D17" s="996"/>
      <c r="E17" s="996"/>
      <c r="F17" s="996"/>
      <c r="G17" s="996"/>
      <c r="H17" s="996"/>
      <c r="I17" s="996"/>
      <c r="J17" s="996"/>
      <c r="K17" s="996"/>
      <c r="L17" s="996"/>
      <c r="M17" s="325">
        <v>53</v>
      </c>
    </row>
    <row r="18" spans="1:13" ht="30" customHeight="1" x14ac:dyDescent="0.25">
      <c r="A18" s="357" t="s">
        <v>1114</v>
      </c>
      <c r="B18" s="996" t="s">
        <v>1139</v>
      </c>
      <c r="C18" s="996"/>
      <c r="D18" s="996"/>
      <c r="E18" s="996"/>
      <c r="F18" s="996"/>
      <c r="G18" s="996"/>
      <c r="H18" s="996"/>
      <c r="I18" s="996"/>
      <c r="J18" s="996"/>
      <c r="K18" s="996"/>
      <c r="L18" s="996"/>
      <c r="M18" s="325">
        <v>79</v>
      </c>
    </row>
    <row r="19" spans="1:13" ht="30" customHeight="1" x14ac:dyDescent="0.25">
      <c r="A19" s="357" t="s">
        <v>1117</v>
      </c>
      <c r="B19" s="996" t="s">
        <v>1140</v>
      </c>
      <c r="C19" s="996"/>
      <c r="D19" s="996"/>
      <c r="E19" s="996"/>
      <c r="F19" s="996"/>
      <c r="G19" s="996"/>
      <c r="H19" s="996"/>
      <c r="I19" s="996"/>
      <c r="J19" s="996"/>
      <c r="K19" s="996"/>
      <c r="L19" s="996"/>
      <c r="M19" s="325">
        <v>86</v>
      </c>
    </row>
    <row r="20" spans="1:13" ht="30" customHeight="1" x14ac:dyDescent="0.25">
      <c r="A20" s="357" t="s">
        <v>1120</v>
      </c>
      <c r="B20" s="996" t="s">
        <v>1141</v>
      </c>
      <c r="C20" s="996"/>
      <c r="D20" s="996"/>
      <c r="E20" s="996"/>
      <c r="F20" s="996"/>
      <c r="G20" s="996"/>
      <c r="H20" s="996"/>
      <c r="I20" s="996"/>
      <c r="J20" s="996"/>
      <c r="K20" s="996"/>
      <c r="L20" s="996"/>
      <c r="M20" s="325">
        <v>87</v>
      </c>
    </row>
    <row r="21" spans="1:13" ht="30" customHeight="1" x14ac:dyDescent="0.25">
      <c r="A21" s="357" t="s">
        <v>1122</v>
      </c>
      <c r="B21" s="996" t="s">
        <v>1142</v>
      </c>
      <c r="C21" s="996"/>
      <c r="D21" s="996"/>
      <c r="E21" s="996"/>
      <c r="F21" s="996"/>
      <c r="G21" s="996"/>
      <c r="H21" s="996"/>
      <c r="I21" s="996"/>
      <c r="J21" s="996"/>
      <c r="K21" s="996"/>
      <c r="L21" s="996"/>
      <c r="M21" s="325">
        <v>89</v>
      </c>
    </row>
    <row r="22" spans="1:13" ht="30" customHeight="1" x14ac:dyDescent="0.25">
      <c r="A22" s="357" t="s">
        <v>1123</v>
      </c>
      <c r="B22" s="996" t="s">
        <v>1146</v>
      </c>
      <c r="C22" s="996"/>
      <c r="D22" s="996"/>
      <c r="E22" s="996"/>
      <c r="F22" s="996"/>
      <c r="G22" s="996"/>
      <c r="H22" s="996"/>
      <c r="I22" s="996"/>
      <c r="J22" s="996"/>
      <c r="K22" s="996"/>
      <c r="L22" s="996"/>
      <c r="M22" s="325">
        <v>91</v>
      </c>
    </row>
    <row r="23" spans="1:13" ht="30" customHeight="1" x14ac:dyDescent="0.25">
      <c r="A23" s="357" t="s">
        <v>1124</v>
      </c>
      <c r="B23" s="996" t="s">
        <v>1143</v>
      </c>
      <c r="C23" s="996"/>
      <c r="D23" s="996"/>
      <c r="E23" s="996"/>
      <c r="F23" s="996"/>
      <c r="G23" s="996"/>
      <c r="H23" s="996"/>
      <c r="I23" s="996"/>
      <c r="J23" s="996"/>
      <c r="K23" s="996"/>
      <c r="L23" s="996"/>
      <c r="M23" s="325">
        <v>92</v>
      </c>
    </row>
    <row r="24" spans="1:13" ht="30" customHeight="1" x14ac:dyDescent="0.25">
      <c r="A24" s="357" t="s">
        <v>1125</v>
      </c>
      <c r="B24" s="996" t="s">
        <v>1145</v>
      </c>
      <c r="C24" s="996"/>
      <c r="D24" s="996"/>
      <c r="E24" s="996"/>
      <c r="F24" s="996"/>
      <c r="G24" s="996"/>
      <c r="H24" s="996"/>
      <c r="I24" s="996"/>
      <c r="J24" s="996"/>
      <c r="K24" s="996"/>
      <c r="L24" s="996"/>
      <c r="M24" s="325">
        <v>118</v>
      </c>
    </row>
    <row r="25" spans="1:13" ht="30" customHeight="1" x14ac:dyDescent="0.25">
      <c r="A25" s="357" t="s">
        <v>1127</v>
      </c>
      <c r="B25" s="996" t="s">
        <v>1144</v>
      </c>
      <c r="C25" s="996"/>
      <c r="D25" s="996"/>
      <c r="E25" s="996"/>
      <c r="F25" s="996"/>
      <c r="G25" s="996"/>
      <c r="H25" s="996"/>
      <c r="I25" s="996"/>
      <c r="J25" s="996"/>
      <c r="K25" s="996"/>
      <c r="L25" s="996"/>
      <c r="M25" s="325">
        <v>136</v>
      </c>
    </row>
    <row r="26" spans="1:13" ht="10.5" customHeight="1" x14ac:dyDescent="0.25">
      <c r="A26" s="357"/>
      <c r="B26" s="449"/>
      <c r="C26" s="449"/>
      <c r="D26" s="449"/>
      <c r="E26" s="449"/>
      <c r="F26" s="449"/>
      <c r="G26" s="449"/>
      <c r="H26" s="449"/>
      <c r="I26" s="449"/>
    </row>
    <row r="27" spans="1:13" ht="33" customHeight="1" x14ac:dyDescent="0.25">
      <c r="A27" s="997"/>
      <c r="B27" s="997"/>
      <c r="C27" s="997"/>
      <c r="D27" s="997"/>
      <c r="E27" s="997"/>
      <c r="F27" s="997"/>
      <c r="G27" s="997"/>
      <c r="H27" s="997"/>
      <c r="I27" s="997"/>
    </row>
    <row r="43" spans="1:10" x14ac:dyDescent="0.25">
      <c r="A43" s="460"/>
      <c r="B43" s="461"/>
      <c r="C43" s="461"/>
      <c r="D43" s="461"/>
      <c r="E43" s="461"/>
      <c r="F43" s="461"/>
      <c r="G43" s="461"/>
      <c r="H43" s="461"/>
      <c r="I43" s="461"/>
      <c r="J43" s="461"/>
    </row>
  </sheetData>
  <mergeCells count="24">
    <mergeCell ref="A27:I27"/>
    <mergeCell ref="B15:L15"/>
    <mergeCell ref="B16:L16"/>
    <mergeCell ref="B17:L17"/>
    <mergeCell ref="B18:L18"/>
    <mergeCell ref="B19:L19"/>
    <mergeCell ref="B20:L20"/>
    <mergeCell ref="B21:L21"/>
    <mergeCell ref="B22:L22"/>
    <mergeCell ref="B23:L23"/>
    <mergeCell ref="B24:L24"/>
    <mergeCell ref="B25:L25"/>
    <mergeCell ref="B14:L14"/>
    <mergeCell ref="B3:L3"/>
    <mergeCell ref="B4:L4"/>
    <mergeCell ref="B5:L5"/>
    <mergeCell ref="B6:L6"/>
    <mergeCell ref="B7:L7"/>
    <mergeCell ref="B8:L8"/>
    <mergeCell ref="B9:L9"/>
    <mergeCell ref="B10:L10"/>
    <mergeCell ref="B11:L11"/>
    <mergeCell ref="B12:L12"/>
    <mergeCell ref="B13:L13"/>
  </mergeCells>
  <pageMargins left="0.78740157480314965" right="0.59055118110236227" top="0.59055118110236227" bottom="0.59055118110236227" header="0.31496062992125984" footer="0.31496062992125984"/>
  <pageSetup paperSize="9" firstPageNumber="15" orientation="portrait" useFirstPageNumber="1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O871"/>
  <sheetViews>
    <sheetView topLeftCell="C773" zoomScale="70" zoomScaleNormal="70" workbookViewId="0">
      <selection activeCell="D857" sqref="D857:O857"/>
    </sheetView>
  </sheetViews>
  <sheetFormatPr defaultRowHeight="15.75" x14ac:dyDescent="0.25"/>
  <cols>
    <col min="1" max="1" width="6.28515625" style="526" customWidth="1"/>
    <col min="2" max="2" width="23.140625" style="518" customWidth="1"/>
    <col min="3" max="3" width="7.28515625" style="535" customWidth="1"/>
    <col min="4" max="4" width="22.7109375" style="683" customWidth="1"/>
    <col min="5" max="5" width="7" style="531" customWidth="1"/>
    <col min="6" max="7" width="13.7109375" style="531" customWidth="1"/>
    <col min="8" max="8" width="15.140625" style="531" customWidth="1"/>
    <col min="9" max="9" width="15.7109375" style="531" customWidth="1"/>
    <col min="10" max="11" width="13.7109375" style="531" customWidth="1"/>
    <col min="12" max="12" width="18.5703125" style="526" customWidth="1"/>
    <col min="13" max="13" width="18.42578125" style="526" customWidth="1"/>
    <col min="14" max="14" width="19.5703125" style="531" customWidth="1"/>
    <col min="15" max="15" width="19" style="531" customWidth="1"/>
    <col min="16" max="16384" width="9.140625" style="526"/>
  </cols>
  <sheetData>
    <row r="1" spans="2:15" s="519" customFormat="1" ht="40.5" customHeight="1" x14ac:dyDescent="0.25">
      <c r="B1" s="1020"/>
      <c r="C1" s="1020"/>
      <c r="D1" s="1021" t="s">
        <v>1393</v>
      </c>
      <c r="E1" s="1021"/>
      <c r="F1" s="1021"/>
      <c r="G1" s="1021"/>
      <c r="H1" s="1021"/>
      <c r="I1" s="1021"/>
      <c r="J1" s="1021"/>
      <c r="K1" s="1021"/>
      <c r="L1" s="1021"/>
      <c r="M1" s="1021"/>
      <c r="N1" s="616"/>
      <c r="O1" s="616"/>
    </row>
    <row r="2" spans="2:15" s="522" customFormat="1" ht="12.75" customHeight="1" x14ac:dyDescent="0.25">
      <c r="B2" s="518"/>
      <c r="C2" s="520"/>
      <c r="D2" s="521"/>
      <c r="E2" s="617"/>
      <c r="F2" s="617"/>
      <c r="G2" s="617"/>
      <c r="H2" s="617"/>
      <c r="I2" s="617"/>
      <c r="J2" s="617"/>
      <c r="K2" s="617"/>
      <c r="N2" s="617"/>
      <c r="O2" s="617"/>
    </row>
    <row r="3" spans="2:15" s="522" customFormat="1" ht="19.5" customHeight="1" thickBot="1" x14ac:dyDescent="0.3">
      <c r="B3" s="518"/>
      <c r="C3" s="520"/>
      <c r="D3" s="521"/>
      <c r="E3" s="617"/>
      <c r="F3" s="1007" t="s">
        <v>987</v>
      </c>
      <c r="G3" s="1007"/>
      <c r="H3" s="1007" t="s">
        <v>1151</v>
      </c>
      <c r="I3" s="1007"/>
      <c r="J3" s="1007" t="s">
        <v>1152</v>
      </c>
      <c r="K3" s="1007"/>
      <c r="L3" s="1007" t="s">
        <v>1153</v>
      </c>
      <c r="M3" s="1007"/>
      <c r="N3" s="1007" t="s">
        <v>1244</v>
      </c>
      <c r="O3" s="1007"/>
    </row>
    <row r="4" spans="2:15" s="519" customFormat="1" ht="19.5" customHeight="1" x14ac:dyDescent="0.25">
      <c r="B4" s="518"/>
      <c r="C4" s="523" t="s">
        <v>159</v>
      </c>
      <c r="D4" s="618" t="s">
        <v>1154</v>
      </c>
      <c r="E4" s="619" t="s">
        <v>1155</v>
      </c>
      <c r="F4" s="620" t="s">
        <v>18</v>
      </c>
      <c r="G4" s="621" t="s">
        <v>19</v>
      </c>
      <c r="H4" s="622" t="s">
        <v>18</v>
      </c>
      <c r="I4" s="623" t="s">
        <v>18</v>
      </c>
      <c r="J4" s="620" t="s">
        <v>18</v>
      </c>
      <c r="K4" s="624" t="s">
        <v>18</v>
      </c>
      <c r="L4" s="622" t="s">
        <v>18</v>
      </c>
      <c r="M4" s="621" t="s">
        <v>19</v>
      </c>
      <c r="N4" s="625" t="s">
        <v>18</v>
      </c>
      <c r="O4" s="621" t="s">
        <v>19</v>
      </c>
    </row>
    <row r="5" spans="2:15" ht="15" customHeight="1" x14ac:dyDescent="0.25">
      <c r="B5" s="1010" t="s">
        <v>1163</v>
      </c>
      <c r="C5" s="525" t="s">
        <v>44</v>
      </c>
      <c r="D5" s="626" t="str">
        <f>'1 котельная+парогенераторная'!Q72</f>
        <v>Азота диоксид</v>
      </c>
      <c r="E5" s="627" t="str">
        <f>'1 котельная+парогенераторная'!R72</f>
        <v>0301</v>
      </c>
      <c r="F5" s="628">
        <f>'1 котельная+парогенераторная'!T72</f>
        <v>0.4511</v>
      </c>
      <c r="G5" s="629">
        <f>'1 котельная+парогенераторная'!U72</f>
        <v>2.3031000000000001</v>
      </c>
      <c r="H5" s="630">
        <f>'1 котельная+парогенераторная'!T72</f>
        <v>0.4511</v>
      </c>
      <c r="I5" s="631">
        <f>'1 котельная+парогенераторная'!U72</f>
        <v>2.3031000000000001</v>
      </c>
      <c r="J5" s="628">
        <f>'1 котельная+парогенераторная'!T72</f>
        <v>0.4511</v>
      </c>
      <c r="K5" s="632">
        <f>'1 котельная+парогенераторная'!U72</f>
        <v>2.3031000000000001</v>
      </c>
      <c r="L5" s="628">
        <f>'1 котельная+парогенераторная'!T72</f>
        <v>0.4511</v>
      </c>
      <c r="M5" s="629">
        <f>'1 котельная+парогенераторная'!U72</f>
        <v>2.3031000000000001</v>
      </c>
      <c r="N5" s="628">
        <f>'1 котельная+парогенераторная'!T104</f>
        <v>0.4511</v>
      </c>
      <c r="O5" s="629">
        <f>'1 котельная+парогенераторная'!U104</f>
        <v>0.32600000000000001</v>
      </c>
    </row>
    <row r="6" spans="2:15" ht="15" customHeight="1" x14ac:dyDescent="0.25">
      <c r="B6" s="1011"/>
      <c r="C6" s="528"/>
      <c r="D6" s="633" t="str">
        <f>'1 котельная+парогенераторная'!Q73</f>
        <v>Азота оксид</v>
      </c>
      <c r="E6" s="634" t="str">
        <f>'1 котельная+парогенераторная'!R73</f>
        <v>0304</v>
      </c>
      <c r="F6" s="635">
        <f>'1 котельная+парогенераторная'!T73</f>
        <v>7.3300000000000004E-2</v>
      </c>
      <c r="G6" s="636">
        <f>'1 котельная+парогенераторная'!U73</f>
        <v>0.37419999999999998</v>
      </c>
      <c r="H6" s="637">
        <f>'1 котельная+парогенераторная'!T73</f>
        <v>7.3300000000000004E-2</v>
      </c>
      <c r="I6" s="638">
        <f>'1 котельная+парогенераторная'!U73</f>
        <v>0.37419999999999998</v>
      </c>
      <c r="J6" s="635">
        <f>'1 котельная+парогенераторная'!T73</f>
        <v>7.3300000000000004E-2</v>
      </c>
      <c r="K6" s="639">
        <f>'1 котельная+парогенераторная'!U73</f>
        <v>0.37419999999999998</v>
      </c>
      <c r="L6" s="635">
        <f>'1 котельная+парогенераторная'!T73</f>
        <v>7.3300000000000004E-2</v>
      </c>
      <c r="M6" s="636">
        <f>'1 котельная+парогенераторная'!U73</f>
        <v>0.37419999999999998</v>
      </c>
      <c r="N6" s="635">
        <f>'1 котельная+парогенераторная'!T105</f>
        <v>7.3300000000000004E-2</v>
      </c>
      <c r="O6" s="636">
        <f>'1 котельная+парогенераторная'!U105</f>
        <v>5.2999999999999999E-2</v>
      </c>
    </row>
    <row r="7" spans="2:15" ht="15" customHeight="1" x14ac:dyDescent="0.25">
      <c r="B7" s="1011"/>
      <c r="C7" s="528"/>
      <c r="D7" s="633" t="str">
        <f>'1 котельная+парогенераторная'!Q74</f>
        <v>Серы диоксид</v>
      </c>
      <c r="E7" s="634" t="str">
        <f>'1 котельная+парогенераторная'!R74</f>
        <v>0330</v>
      </c>
      <c r="F7" s="635">
        <f>'1 котельная+парогенераторная'!T74</f>
        <v>0.1293</v>
      </c>
      <c r="G7" s="636">
        <f>'1 котельная+парогенераторная'!U74</f>
        <v>0.65990000000000004</v>
      </c>
      <c r="H7" s="637">
        <f>'1 котельная+парогенераторная'!T74</f>
        <v>0.1293</v>
      </c>
      <c r="I7" s="638">
        <f>'1 котельная+парогенераторная'!U74</f>
        <v>0.65990000000000004</v>
      </c>
      <c r="J7" s="635">
        <f>'1 котельная+парогенераторная'!T74</f>
        <v>0.1293</v>
      </c>
      <c r="K7" s="639">
        <f>'1 котельная+парогенераторная'!U74</f>
        <v>0.65990000000000004</v>
      </c>
      <c r="L7" s="635">
        <f>'1 котельная+парогенераторная'!T74</f>
        <v>0.1293</v>
      </c>
      <c r="M7" s="636">
        <f>'1 котельная+парогенераторная'!U74</f>
        <v>0.65990000000000004</v>
      </c>
      <c r="N7" s="635">
        <f>'1 котельная+парогенераторная'!T106</f>
        <v>0.1293</v>
      </c>
      <c r="O7" s="636">
        <f>'1 котельная+парогенераторная'!U106</f>
        <v>9.3399999999999997E-2</v>
      </c>
    </row>
    <row r="8" spans="2:15" ht="15" customHeight="1" x14ac:dyDescent="0.25">
      <c r="B8" s="1011"/>
      <c r="C8" s="528"/>
      <c r="D8" s="633" t="str">
        <f>'1 котельная+парогенераторная'!Q75</f>
        <v xml:space="preserve">Углерод </v>
      </c>
      <c r="E8" s="634" t="str">
        <f>'1 котельная+парогенераторная'!R75</f>
        <v>0328</v>
      </c>
      <c r="F8" s="635">
        <f>'1 котельная+парогенераторная'!T75</f>
        <v>1.32E-2</v>
      </c>
      <c r="G8" s="636">
        <f>'1 котельная+парогенераторная'!U75</f>
        <v>6.7299999999999999E-2</v>
      </c>
      <c r="H8" s="637">
        <f>'1 котельная+парогенераторная'!T75</f>
        <v>1.32E-2</v>
      </c>
      <c r="I8" s="638">
        <f>'1 котельная+парогенераторная'!U75</f>
        <v>6.7299999999999999E-2</v>
      </c>
      <c r="J8" s="635">
        <f>'1 котельная+парогенераторная'!T75</f>
        <v>1.32E-2</v>
      </c>
      <c r="K8" s="639">
        <f>'1 котельная+парогенераторная'!U75</f>
        <v>6.7299999999999999E-2</v>
      </c>
      <c r="L8" s="635">
        <f>'1 котельная+парогенераторная'!T75</f>
        <v>1.32E-2</v>
      </c>
      <c r="M8" s="636">
        <f>'1 котельная+парогенераторная'!U75</f>
        <v>6.7299999999999999E-2</v>
      </c>
      <c r="N8" s="635">
        <f>'1 котельная+парогенераторная'!T107</f>
        <v>1.32E-2</v>
      </c>
      <c r="O8" s="636">
        <f>'1 котельная+парогенераторная'!U107</f>
        <v>9.4999999999999998E-3</v>
      </c>
    </row>
    <row r="9" spans="2:15" ht="15" customHeight="1" x14ac:dyDescent="0.25">
      <c r="B9" s="1011"/>
      <c r="C9" s="529"/>
      <c r="D9" s="640" t="str">
        <f>'1 котельная+парогенераторная'!Q76</f>
        <v>Углерода оксид</v>
      </c>
      <c r="E9" s="641" t="str">
        <f>'1 котельная+парогенераторная'!R76</f>
        <v>0337</v>
      </c>
      <c r="F9" s="642">
        <f>'1 котельная+парогенераторная'!T76</f>
        <v>1.8326</v>
      </c>
      <c r="G9" s="643">
        <f>'1 котельная+парогенераторная'!U76</f>
        <v>9.3562999999999992</v>
      </c>
      <c r="H9" s="644">
        <f>'1 котельная+парогенераторная'!T76</f>
        <v>1.8326</v>
      </c>
      <c r="I9" s="645">
        <f>'1 котельная+парогенераторная'!U76</f>
        <v>9.3562999999999992</v>
      </c>
      <c r="J9" s="642">
        <f>'1 котельная+парогенераторная'!T76</f>
        <v>1.8326</v>
      </c>
      <c r="K9" s="646">
        <f>'1 котельная+парогенераторная'!U76</f>
        <v>9.3562999999999992</v>
      </c>
      <c r="L9" s="642">
        <f>'1 котельная+парогенераторная'!T76</f>
        <v>1.8326</v>
      </c>
      <c r="M9" s="643">
        <f>'1 котельная+парогенераторная'!U76</f>
        <v>9.3562999999999992</v>
      </c>
      <c r="N9" s="642">
        <f>'1 котельная+парогенераторная'!T108</f>
        <v>1.8326</v>
      </c>
      <c r="O9" s="643">
        <f>'1 котельная+парогенераторная'!U108</f>
        <v>1.3244</v>
      </c>
    </row>
    <row r="10" spans="2:15" ht="15" customHeight="1" x14ac:dyDescent="0.25">
      <c r="B10" s="1011"/>
      <c r="C10" s="525" t="s">
        <v>69</v>
      </c>
      <c r="D10" s="626" t="str">
        <f>'1 котельная+парогенераторная'!Q77</f>
        <v>Азота диоксид</v>
      </c>
      <c r="E10" s="627" t="str">
        <f>'1 котельная+парогенераторная'!R77</f>
        <v>0301</v>
      </c>
      <c r="F10" s="628">
        <f>'1 котельная+парогенераторная'!T77</f>
        <v>0.4511</v>
      </c>
      <c r="G10" s="629">
        <f>'1 котельная+парогенераторная'!U77</f>
        <v>2.3031000000000001</v>
      </c>
      <c r="H10" s="630">
        <f>'1 котельная+парогенераторная'!T77</f>
        <v>0.4511</v>
      </c>
      <c r="I10" s="631">
        <f>'1 котельная+парогенераторная'!U77</f>
        <v>2.3031000000000001</v>
      </c>
      <c r="J10" s="628">
        <f>'1 котельная+парогенераторная'!T77</f>
        <v>0.4511</v>
      </c>
      <c r="K10" s="632">
        <f>'1 котельная+парогенераторная'!U77</f>
        <v>2.3031000000000001</v>
      </c>
      <c r="L10" s="628">
        <f>'1 котельная+парогенераторная'!T77</f>
        <v>0.4511</v>
      </c>
      <c r="M10" s="629">
        <f>'1 котельная+парогенераторная'!U77</f>
        <v>2.3031000000000001</v>
      </c>
      <c r="N10" s="628">
        <f>'1 котельная+парогенераторная'!T109</f>
        <v>0.4511</v>
      </c>
      <c r="O10" s="629">
        <f>'1 котельная+парогенераторная'!U109</f>
        <v>0.32600000000000001</v>
      </c>
    </row>
    <row r="11" spans="2:15" ht="15" customHeight="1" x14ac:dyDescent="0.25">
      <c r="B11" s="1011"/>
      <c r="C11" s="528"/>
      <c r="D11" s="633" t="str">
        <f>'1 котельная+парогенераторная'!Q78</f>
        <v>Азота оксид</v>
      </c>
      <c r="E11" s="634" t="str">
        <f>'1 котельная+парогенераторная'!R78</f>
        <v>0304</v>
      </c>
      <c r="F11" s="635">
        <f>'1 котельная+парогенераторная'!T78</f>
        <v>7.3300000000000004E-2</v>
      </c>
      <c r="G11" s="636">
        <f>'1 котельная+парогенераторная'!U78</f>
        <v>0.37419999999999998</v>
      </c>
      <c r="H11" s="637">
        <f>'1 котельная+парогенераторная'!T78</f>
        <v>7.3300000000000004E-2</v>
      </c>
      <c r="I11" s="638">
        <f>'1 котельная+парогенераторная'!U78</f>
        <v>0.37419999999999998</v>
      </c>
      <c r="J11" s="635">
        <f>'1 котельная+парогенераторная'!T78</f>
        <v>7.3300000000000004E-2</v>
      </c>
      <c r="K11" s="639">
        <f>'1 котельная+парогенераторная'!U78</f>
        <v>0.37419999999999998</v>
      </c>
      <c r="L11" s="635">
        <f>'1 котельная+парогенераторная'!T78</f>
        <v>7.3300000000000004E-2</v>
      </c>
      <c r="M11" s="636">
        <f>'1 котельная+парогенераторная'!U78</f>
        <v>0.37419999999999998</v>
      </c>
      <c r="N11" s="635">
        <f>'1 котельная+парогенераторная'!T110</f>
        <v>7.3300000000000004E-2</v>
      </c>
      <c r="O11" s="636">
        <f>'1 котельная+парогенераторная'!U110</f>
        <v>5.2999999999999999E-2</v>
      </c>
    </row>
    <row r="12" spans="2:15" ht="15" customHeight="1" x14ac:dyDescent="0.25">
      <c r="B12" s="1011"/>
      <c r="C12" s="528"/>
      <c r="D12" s="633" t="str">
        <f>'1 котельная+парогенераторная'!Q79</f>
        <v>Серы диоксид</v>
      </c>
      <c r="E12" s="634" t="str">
        <f>'1 котельная+парогенераторная'!R79</f>
        <v>0330</v>
      </c>
      <c r="F12" s="635">
        <f>'1 котельная+парогенераторная'!T79</f>
        <v>0.1293</v>
      </c>
      <c r="G12" s="636">
        <f>'1 котельная+парогенераторная'!U79</f>
        <v>0.65990000000000004</v>
      </c>
      <c r="H12" s="637">
        <f>'1 котельная+парогенераторная'!T79</f>
        <v>0.1293</v>
      </c>
      <c r="I12" s="638">
        <f>'1 котельная+парогенераторная'!U79</f>
        <v>0.65990000000000004</v>
      </c>
      <c r="J12" s="635">
        <f>'1 котельная+парогенераторная'!T79</f>
        <v>0.1293</v>
      </c>
      <c r="K12" s="639">
        <f>'1 котельная+парогенераторная'!U79</f>
        <v>0.65990000000000004</v>
      </c>
      <c r="L12" s="635">
        <f>'1 котельная+парогенераторная'!T79</f>
        <v>0.1293</v>
      </c>
      <c r="M12" s="636">
        <f>'1 котельная+парогенераторная'!U79</f>
        <v>0.65990000000000004</v>
      </c>
      <c r="N12" s="635">
        <f>'1 котельная+парогенераторная'!T111</f>
        <v>0.1293</v>
      </c>
      <c r="O12" s="636">
        <f>'1 котельная+парогенераторная'!U111</f>
        <v>9.3399999999999997E-2</v>
      </c>
    </row>
    <row r="13" spans="2:15" ht="15" customHeight="1" x14ac:dyDescent="0.25">
      <c r="B13" s="1011"/>
      <c r="C13" s="528"/>
      <c r="D13" s="633" t="str">
        <f>'1 котельная+парогенераторная'!Q80</f>
        <v xml:space="preserve">Углерод </v>
      </c>
      <c r="E13" s="634" t="str">
        <f>'1 котельная+парогенераторная'!R80</f>
        <v>0328</v>
      </c>
      <c r="F13" s="635">
        <f>'1 котельная+парогенераторная'!T80</f>
        <v>1.32E-2</v>
      </c>
      <c r="G13" s="636">
        <f>'1 котельная+парогенераторная'!U80</f>
        <v>6.7299999999999999E-2</v>
      </c>
      <c r="H13" s="637">
        <f>'1 котельная+парогенераторная'!T80</f>
        <v>1.32E-2</v>
      </c>
      <c r="I13" s="638">
        <f>'1 котельная+парогенераторная'!U80</f>
        <v>6.7299999999999999E-2</v>
      </c>
      <c r="J13" s="635">
        <f>'1 котельная+парогенераторная'!T80</f>
        <v>1.32E-2</v>
      </c>
      <c r="K13" s="639">
        <f>'1 котельная+парогенераторная'!U80</f>
        <v>6.7299999999999999E-2</v>
      </c>
      <c r="L13" s="635">
        <f>'1 котельная+парогенераторная'!T80</f>
        <v>1.32E-2</v>
      </c>
      <c r="M13" s="636">
        <f>'1 котельная+парогенераторная'!U80</f>
        <v>6.7299999999999999E-2</v>
      </c>
      <c r="N13" s="635">
        <f>'1 котельная+парогенераторная'!T112</f>
        <v>1.32E-2</v>
      </c>
      <c r="O13" s="636">
        <f>'1 котельная+парогенераторная'!U112</f>
        <v>9.4999999999999998E-3</v>
      </c>
    </row>
    <row r="14" spans="2:15" ht="15" customHeight="1" x14ac:dyDescent="0.25">
      <c r="B14" s="1011"/>
      <c r="C14" s="529"/>
      <c r="D14" s="640" t="str">
        <f>'1 котельная+парогенераторная'!Q81</f>
        <v>Углерода оксид</v>
      </c>
      <c r="E14" s="641" t="str">
        <f>'1 котельная+парогенераторная'!R81</f>
        <v>0337</v>
      </c>
      <c r="F14" s="642">
        <f>'1 котельная+парогенераторная'!T81</f>
        <v>1.8326</v>
      </c>
      <c r="G14" s="643">
        <f>'1 котельная+парогенераторная'!U81</f>
        <v>9.3562999999999992</v>
      </c>
      <c r="H14" s="644">
        <f>'1 котельная+парогенераторная'!T81</f>
        <v>1.8326</v>
      </c>
      <c r="I14" s="645">
        <f>'1 котельная+парогенераторная'!U81</f>
        <v>9.3562999999999992</v>
      </c>
      <c r="J14" s="642">
        <f>'1 котельная+парогенераторная'!T81</f>
        <v>1.8326</v>
      </c>
      <c r="K14" s="646">
        <f>'1 котельная+парогенераторная'!U81</f>
        <v>9.3562999999999992</v>
      </c>
      <c r="L14" s="642">
        <f>'1 котельная+парогенераторная'!T81</f>
        <v>1.8326</v>
      </c>
      <c r="M14" s="643">
        <f>'1 котельная+парогенераторная'!U81</f>
        <v>9.3562999999999992</v>
      </c>
      <c r="N14" s="642">
        <f>'1 котельная+парогенераторная'!T113</f>
        <v>1.8326</v>
      </c>
      <c r="O14" s="643">
        <f>'1 котельная+парогенераторная'!U113</f>
        <v>1.3244</v>
      </c>
    </row>
    <row r="15" spans="2:15" ht="15" customHeight="1" x14ac:dyDescent="0.25">
      <c r="B15" s="1011"/>
      <c r="C15" s="525" t="s">
        <v>70</v>
      </c>
      <c r="D15" s="626" t="str">
        <f>'1 котельная+парогенераторная'!Q82</f>
        <v>Азота диоксид</v>
      </c>
      <c r="E15" s="627" t="str">
        <f>'1 котельная+парогенераторная'!R82</f>
        <v>0301</v>
      </c>
      <c r="F15" s="628">
        <f>'1 котельная+парогенераторная'!T82</f>
        <v>0.4511</v>
      </c>
      <c r="G15" s="629">
        <f>'1 котельная+парогенераторная'!U82</f>
        <v>2.3031000000000001</v>
      </c>
      <c r="H15" s="630">
        <f>'1 котельная+парогенераторная'!T82</f>
        <v>0.4511</v>
      </c>
      <c r="I15" s="631">
        <f>'1 котельная+парогенераторная'!U82</f>
        <v>2.3031000000000001</v>
      </c>
      <c r="J15" s="628">
        <f>'1 котельная+парогенераторная'!T82</f>
        <v>0.4511</v>
      </c>
      <c r="K15" s="632">
        <f>'1 котельная+парогенераторная'!U82</f>
        <v>2.3031000000000001</v>
      </c>
      <c r="L15" s="628">
        <f>'1 котельная+парогенераторная'!T82</f>
        <v>0.4511</v>
      </c>
      <c r="M15" s="629">
        <f>'1 котельная+парогенераторная'!U82</f>
        <v>2.3031000000000001</v>
      </c>
      <c r="N15" s="628">
        <f>'1 котельная+парогенераторная'!T114</f>
        <v>0.4511</v>
      </c>
      <c r="O15" s="629">
        <f>'1 котельная+парогенераторная'!U114</f>
        <v>0.32600000000000001</v>
      </c>
    </row>
    <row r="16" spans="2:15" ht="15" customHeight="1" x14ac:dyDescent="0.25">
      <c r="B16" s="1011"/>
      <c r="C16" s="528"/>
      <c r="D16" s="633" t="str">
        <f>'1 котельная+парогенераторная'!Q83</f>
        <v>Азота оксид</v>
      </c>
      <c r="E16" s="634" t="str">
        <f>'1 котельная+парогенераторная'!R83</f>
        <v>0304</v>
      </c>
      <c r="F16" s="635">
        <f>'1 котельная+парогенераторная'!T83</f>
        <v>7.3300000000000004E-2</v>
      </c>
      <c r="G16" s="636">
        <f>'1 котельная+парогенераторная'!U83</f>
        <v>0.37419999999999998</v>
      </c>
      <c r="H16" s="637">
        <f>'1 котельная+парогенераторная'!T83</f>
        <v>7.3300000000000004E-2</v>
      </c>
      <c r="I16" s="638">
        <f>'1 котельная+парогенераторная'!U83</f>
        <v>0.37419999999999998</v>
      </c>
      <c r="J16" s="635">
        <f>'1 котельная+парогенераторная'!T83</f>
        <v>7.3300000000000004E-2</v>
      </c>
      <c r="K16" s="639">
        <f>'1 котельная+парогенераторная'!U83</f>
        <v>0.37419999999999998</v>
      </c>
      <c r="L16" s="635">
        <f>'1 котельная+парогенераторная'!T83</f>
        <v>7.3300000000000004E-2</v>
      </c>
      <c r="M16" s="636">
        <f>'1 котельная+парогенераторная'!U83</f>
        <v>0.37419999999999998</v>
      </c>
      <c r="N16" s="635">
        <f>'1 котельная+парогенераторная'!T115</f>
        <v>7.3300000000000004E-2</v>
      </c>
      <c r="O16" s="636">
        <f>'1 котельная+парогенераторная'!U115</f>
        <v>5.2999999999999999E-2</v>
      </c>
    </row>
    <row r="17" spans="2:15" ht="15" customHeight="1" x14ac:dyDescent="0.25">
      <c r="B17" s="1011"/>
      <c r="C17" s="528"/>
      <c r="D17" s="633" t="str">
        <f>'1 котельная+парогенераторная'!Q84</f>
        <v>Серы диоксид</v>
      </c>
      <c r="E17" s="634" t="str">
        <f>'1 котельная+парогенераторная'!R84</f>
        <v>0330</v>
      </c>
      <c r="F17" s="635">
        <f>'1 котельная+парогенераторная'!T84</f>
        <v>0.1293</v>
      </c>
      <c r="G17" s="636">
        <f>'1 котельная+парогенераторная'!U84</f>
        <v>0.65990000000000004</v>
      </c>
      <c r="H17" s="637">
        <f>'1 котельная+парогенераторная'!T84</f>
        <v>0.1293</v>
      </c>
      <c r="I17" s="638">
        <f>'1 котельная+парогенераторная'!U84</f>
        <v>0.65990000000000004</v>
      </c>
      <c r="J17" s="635">
        <f>'1 котельная+парогенераторная'!T84</f>
        <v>0.1293</v>
      </c>
      <c r="K17" s="639">
        <f>'1 котельная+парогенераторная'!U84</f>
        <v>0.65990000000000004</v>
      </c>
      <c r="L17" s="635">
        <f>'1 котельная+парогенераторная'!T84</f>
        <v>0.1293</v>
      </c>
      <c r="M17" s="636">
        <f>'1 котельная+парогенераторная'!U84</f>
        <v>0.65990000000000004</v>
      </c>
      <c r="N17" s="635">
        <f>'1 котельная+парогенераторная'!T116</f>
        <v>0.1293</v>
      </c>
      <c r="O17" s="636">
        <f>'1 котельная+парогенераторная'!U116</f>
        <v>9.3399999999999997E-2</v>
      </c>
    </row>
    <row r="18" spans="2:15" ht="15" customHeight="1" x14ac:dyDescent="0.25">
      <c r="B18" s="1011"/>
      <c r="C18" s="528"/>
      <c r="D18" s="633" t="str">
        <f>'1 котельная+парогенераторная'!Q85</f>
        <v xml:space="preserve">Углерод </v>
      </c>
      <c r="E18" s="634" t="str">
        <f>'1 котельная+парогенераторная'!R85</f>
        <v>0328</v>
      </c>
      <c r="F18" s="635">
        <f>'1 котельная+парогенераторная'!T85</f>
        <v>1.32E-2</v>
      </c>
      <c r="G18" s="636">
        <f>'1 котельная+парогенераторная'!U85</f>
        <v>6.7299999999999999E-2</v>
      </c>
      <c r="H18" s="637">
        <f>'1 котельная+парогенераторная'!T85</f>
        <v>1.32E-2</v>
      </c>
      <c r="I18" s="638">
        <f>'1 котельная+парогенераторная'!U85</f>
        <v>6.7299999999999999E-2</v>
      </c>
      <c r="J18" s="635">
        <f>'1 котельная+парогенераторная'!T85</f>
        <v>1.32E-2</v>
      </c>
      <c r="K18" s="639">
        <f>'1 котельная+парогенераторная'!U85</f>
        <v>6.7299999999999999E-2</v>
      </c>
      <c r="L18" s="635">
        <f>'1 котельная+парогенераторная'!T85</f>
        <v>1.32E-2</v>
      </c>
      <c r="M18" s="636">
        <f>'1 котельная+парогенераторная'!U85</f>
        <v>6.7299999999999999E-2</v>
      </c>
      <c r="N18" s="635">
        <f>'1 котельная+парогенераторная'!T117</f>
        <v>1.32E-2</v>
      </c>
      <c r="O18" s="636">
        <f>'1 котельная+парогенераторная'!U117</f>
        <v>9.4999999999999998E-3</v>
      </c>
    </row>
    <row r="19" spans="2:15" ht="15" customHeight="1" x14ac:dyDescent="0.25">
      <c r="B19" s="1011"/>
      <c r="C19" s="529"/>
      <c r="D19" s="640" t="str">
        <f>'1 котельная+парогенераторная'!Q86</f>
        <v>Углерода оксид</v>
      </c>
      <c r="E19" s="641" t="str">
        <f>'1 котельная+парогенераторная'!R86</f>
        <v>0337</v>
      </c>
      <c r="F19" s="642">
        <f>'1 котельная+парогенераторная'!T86</f>
        <v>1.8326</v>
      </c>
      <c r="G19" s="643">
        <f>'1 котельная+парогенераторная'!U86</f>
        <v>9.3562999999999992</v>
      </c>
      <c r="H19" s="644">
        <f>'1 котельная+парогенераторная'!T86</f>
        <v>1.8326</v>
      </c>
      <c r="I19" s="645">
        <f>'1 котельная+парогенераторная'!U86</f>
        <v>9.3562999999999992</v>
      </c>
      <c r="J19" s="642">
        <f>'1 котельная+парогенераторная'!T86</f>
        <v>1.8326</v>
      </c>
      <c r="K19" s="646">
        <f>'1 котельная+парогенераторная'!U86</f>
        <v>9.3562999999999992</v>
      </c>
      <c r="L19" s="642">
        <f>'1 котельная+парогенераторная'!T86</f>
        <v>1.8326</v>
      </c>
      <c r="M19" s="643">
        <f>'1 котельная+парогенераторная'!U86</f>
        <v>9.3562999999999992</v>
      </c>
      <c r="N19" s="642">
        <f>'1 котельная+парогенераторная'!T118</f>
        <v>1.8326</v>
      </c>
      <c r="O19" s="643">
        <f>'1 котельная+парогенераторная'!U118</f>
        <v>1.3244</v>
      </c>
    </row>
    <row r="20" spans="2:15" ht="15" customHeight="1" x14ac:dyDescent="0.25">
      <c r="B20" s="1011"/>
      <c r="C20" s="528" t="s">
        <v>71</v>
      </c>
      <c r="D20" s="626" t="str">
        <f>'1 котельная+парогенераторная'!Q87</f>
        <v>Азота диоксид</v>
      </c>
      <c r="E20" s="627" t="str">
        <f>'1 котельная+парогенераторная'!R87</f>
        <v>0301</v>
      </c>
      <c r="F20" s="628">
        <f>'1 котельная+парогенераторная'!T87</f>
        <v>0.4511</v>
      </c>
      <c r="G20" s="629">
        <f>'1 котельная+парогенераторная'!U87</f>
        <v>2.3031000000000001</v>
      </c>
      <c r="H20" s="630">
        <f>'1 котельная+парогенераторная'!T87</f>
        <v>0.4511</v>
      </c>
      <c r="I20" s="631">
        <f>'1 котельная+парогенераторная'!U87</f>
        <v>2.3031000000000001</v>
      </c>
      <c r="J20" s="628">
        <f>'1 котельная+парогенераторная'!T87</f>
        <v>0.4511</v>
      </c>
      <c r="K20" s="632">
        <f>'1 котельная+парогенераторная'!U87</f>
        <v>2.3031000000000001</v>
      </c>
      <c r="L20" s="628">
        <f>'1 котельная+парогенераторная'!T87</f>
        <v>0.4511</v>
      </c>
      <c r="M20" s="629">
        <f>'1 котельная+парогенераторная'!U87</f>
        <v>2.3031000000000001</v>
      </c>
      <c r="N20" s="628">
        <f>'1 котельная+парогенераторная'!T119</f>
        <v>0.4511</v>
      </c>
      <c r="O20" s="629">
        <f>'1 котельная+парогенераторная'!U119</f>
        <v>0.32600000000000001</v>
      </c>
    </row>
    <row r="21" spans="2:15" ht="15" customHeight="1" x14ac:dyDescent="0.25">
      <c r="B21" s="1011"/>
      <c r="C21" s="528"/>
      <c r="D21" s="633" t="str">
        <f>'1 котельная+парогенераторная'!Q88</f>
        <v>Азота оксид</v>
      </c>
      <c r="E21" s="634" t="str">
        <f>'1 котельная+парогенераторная'!R88</f>
        <v>0304</v>
      </c>
      <c r="F21" s="635">
        <f>'1 котельная+парогенераторная'!T88</f>
        <v>7.3300000000000004E-2</v>
      </c>
      <c r="G21" s="636">
        <f>'1 котельная+парогенераторная'!U88</f>
        <v>0.37419999999999998</v>
      </c>
      <c r="H21" s="637">
        <f>'1 котельная+парогенераторная'!T88</f>
        <v>7.3300000000000004E-2</v>
      </c>
      <c r="I21" s="638">
        <f>'1 котельная+парогенераторная'!U88</f>
        <v>0.37419999999999998</v>
      </c>
      <c r="J21" s="635">
        <f>'1 котельная+парогенераторная'!T88</f>
        <v>7.3300000000000004E-2</v>
      </c>
      <c r="K21" s="639">
        <f>'1 котельная+парогенераторная'!U88</f>
        <v>0.37419999999999998</v>
      </c>
      <c r="L21" s="635">
        <f>'1 котельная+парогенераторная'!T88</f>
        <v>7.3300000000000004E-2</v>
      </c>
      <c r="M21" s="636">
        <f>'1 котельная+парогенераторная'!U88</f>
        <v>0.37419999999999998</v>
      </c>
      <c r="N21" s="635">
        <f>'1 котельная+парогенераторная'!T120</f>
        <v>7.3300000000000004E-2</v>
      </c>
      <c r="O21" s="636">
        <f>'1 котельная+парогенераторная'!U120</f>
        <v>5.2999999999999999E-2</v>
      </c>
    </row>
    <row r="22" spans="2:15" ht="15" customHeight="1" x14ac:dyDescent="0.25">
      <c r="B22" s="1011"/>
      <c r="C22" s="528"/>
      <c r="D22" s="633" t="str">
        <f>'1 котельная+парогенераторная'!Q89</f>
        <v>Серы диоксид</v>
      </c>
      <c r="E22" s="634" t="str">
        <f>'1 котельная+парогенераторная'!R89</f>
        <v>0330</v>
      </c>
      <c r="F22" s="635">
        <f>'1 котельная+парогенераторная'!T89</f>
        <v>0.1293</v>
      </c>
      <c r="G22" s="636">
        <f>'1 котельная+парогенераторная'!U89</f>
        <v>0.65990000000000004</v>
      </c>
      <c r="H22" s="637">
        <f>'1 котельная+парогенераторная'!T89</f>
        <v>0.1293</v>
      </c>
      <c r="I22" s="638">
        <f>'1 котельная+парогенераторная'!U89</f>
        <v>0.65990000000000004</v>
      </c>
      <c r="J22" s="635">
        <f>'1 котельная+парогенераторная'!T89</f>
        <v>0.1293</v>
      </c>
      <c r="K22" s="639">
        <f>'1 котельная+парогенераторная'!U89</f>
        <v>0.65990000000000004</v>
      </c>
      <c r="L22" s="635">
        <f>'1 котельная+парогенераторная'!T89</f>
        <v>0.1293</v>
      </c>
      <c r="M22" s="636">
        <f>'1 котельная+парогенераторная'!U89</f>
        <v>0.65990000000000004</v>
      </c>
      <c r="N22" s="635">
        <f>'1 котельная+парогенераторная'!T121</f>
        <v>0.1293</v>
      </c>
      <c r="O22" s="636">
        <f>'1 котельная+парогенераторная'!U121</f>
        <v>9.3399999999999997E-2</v>
      </c>
    </row>
    <row r="23" spans="2:15" ht="15" customHeight="1" x14ac:dyDescent="0.25">
      <c r="B23" s="1011"/>
      <c r="C23" s="528"/>
      <c r="D23" s="633" t="str">
        <f>'1 котельная+парогенераторная'!Q90</f>
        <v xml:space="preserve">Углерод </v>
      </c>
      <c r="E23" s="634" t="str">
        <f>'1 котельная+парогенераторная'!R90</f>
        <v>0328</v>
      </c>
      <c r="F23" s="635">
        <f>'1 котельная+парогенераторная'!T90</f>
        <v>1.32E-2</v>
      </c>
      <c r="G23" s="636">
        <f>'1 котельная+парогенераторная'!U90</f>
        <v>6.7299999999999999E-2</v>
      </c>
      <c r="H23" s="637">
        <f>'1 котельная+парогенераторная'!T90</f>
        <v>1.32E-2</v>
      </c>
      <c r="I23" s="638">
        <f>'1 котельная+парогенераторная'!U90</f>
        <v>6.7299999999999999E-2</v>
      </c>
      <c r="J23" s="635">
        <f>'1 котельная+парогенераторная'!T90</f>
        <v>1.32E-2</v>
      </c>
      <c r="K23" s="639">
        <f>'1 котельная+парогенераторная'!U90</f>
        <v>6.7299999999999999E-2</v>
      </c>
      <c r="L23" s="635">
        <f>'1 котельная+парогенераторная'!T90</f>
        <v>1.32E-2</v>
      </c>
      <c r="M23" s="636">
        <f>'1 котельная+парогенераторная'!U90</f>
        <v>6.7299999999999999E-2</v>
      </c>
      <c r="N23" s="635">
        <f>'1 котельная+парогенераторная'!T122</f>
        <v>1.32E-2</v>
      </c>
      <c r="O23" s="636">
        <f>'1 котельная+парогенераторная'!U122</f>
        <v>9.4999999999999998E-3</v>
      </c>
    </row>
    <row r="24" spans="2:15" ht="15" customHeight="1" x14ac:dyDescent="0.25">
      <c r="B24" s="1011"/>
      <c r="C24" s="529"/>
      <c r="D24" s="640" t="str">
        <f>'1 котельная+парогенераторная'!Q91</f>
        <v>Углерода оксид</v>
      </c>
      <c r="E24" s="641" t="str">
        <f>'1 котельная+парогенераторная'!R91</f>
        <v>0337</v>
      </c>
      <c r="F24" s="642">
        <f>'1 котельная+парогенераторная'!T91</f>
        <v>1.8326</v>
      </c>
      <c r="G24" s="643">
        <f>'1 котельная+парогенераторная'!U91</f>
        <v>9.3562999999999992</v>
      </c>
      <c r="H24" s="644">
        <f>'1 котельная+парогенераторная'!T91</f>
        <v>1.8326</v>
      </c>
      <c r="I24" s="645">
        <f>'1 котельная+парогенераторная'!U91</f>
        <v>9.3562999999999992</v>
      </c>
      <c r="J24" s="642">
        <f>'1 котельная+парогенераторная'!T91</f>
        <v>1.8326</v>
      </c>
      <c r="K24" s="646">
        <f>'1 котельная+парогенераторная'!U91</f>
        <v>9.3562999999999992</v>
      </c>
      <c r="L24" s="642">
        <f>'1 котельная+парогенераторная'!T91</f>
        <v>1.8326</v>
      </c>
      <c r="M24" s="643">
        <f>'1 котельная+парогенераторная'!U91</f>
        <v>9.3562999999999992</v>
      </c>
      <c r="N24" s="642">
        <f>'1 котельная+парогенераторная'!T123</f>
        <v>1.8326</v>
      </c>
      <c r="O24" s="643">
        <f>'1 котельная+парогенераторная'!U123</f>
        <v>1.3244</v>
      </c>
    </row>
    <row r="25" spans="2:15" ht="15" customHeight="1" x14ac:dyDescent="0.25">
      <c r="B25" s="1011"/>
      <c r="C25" s="528" t="s">
        <v>72</v>
      </c>
      <c r="D25" s="626" t="str">
        <f>'1 котельная+парогенераторная'!Q92</f>
        <v>Азота диоксид</v>
      </c>
      <c r="E25" s="627" t="str">
        <f>'1 котельная+парогенераторная'!R92</f>
        <v>0301</v>
      </c>
      <c r="F25" s="628">
        <f>'1 котельная+парогенераторная'!T92</f>
        <v>0.1188</v>
      </c>
      <c r="G25" s="629">
        <f>'1 котельная+парогенераторная'!U92</f>
        <v>2.0727000000000002</v>
      </c>
      <c r="H25" s="630">
        <f>'1 котельная+парогенераторная'!T92</f>
        <v>0.1188</v>
      </c>
      <c r="I25" s="631">
        <f>'1 котельная+парогенераторная'!U92</f>
        <v>2.0727000000000002</v>
      </c>
      <c r="J25" s="628">
        <f>'1 котельная+парогенераторная'!T92</f>
        <v>0.1188</v>
      </c>
      <c r="K25" s="632">
        <f>'1 котельная+парогенераторная'!U92</f>
        <v>2.0727000000000002</v>
      </c>
      <c r="L25" s="628">
        <f>'1 котельная+парогенераторная'!T92</f>
        <v>0.1188</v>
      </c>
      <c r="M25" s="629">
        <f>'1 котельная+парогенераторная'!U92</f>
        <v>2.0727000000000002</v>
      </c>
      <c r="N25" s="628">
        <f>'1 котельная+парогенераторная'!T124</f>
        <v>0.1188</v>
      </c>
      <c r="O25" s="629">
        <f>'1 котельная+парогенераторная'!U124</f>
        <v>0.29339999999999999</v>
      </c>
    </row>
    <row r="26" spans="2:15" ht="15" customHeight="1" x14ac:dyDescent="0.25">
      <c r="B26" s="1011"/>
      <c r="C26" s="528"/>
      <c r="D26" s="633" t="str">
        <f>'1 котельная+парогенераторная'!Q93</f>
        <v>Азота оксид</v>
      </c>
      <c r="E26" s="634" t="str">
        <f>'1 котельная+парогенераторная'!R93</f>
        <v>0304</v>
      </c>
      <c r="F26" s="635">
        <f>'1 котельная+парогенераторная'!T93</f>
        <v>1.9300000000000001E-2</v>
      </c>
      <c r="G26" s="636">
        <f>'1 котельная+парогенераторная'!U93</f>
        <v>0.33679999999999999</v>
      </c>
      <c r="H26" s="637">
        <f>'1 котельная+парогенераторная'!T93</f>
        <v>1.9300000000000001E-2</v>
      </c>
      <c r="I26" s="638">
        <f>'1 котельная+парогенераторная'!U93</f>
        <v>0.33679999999999999</v>
      </c>
      <c r="J26" s="635">
        <f>'1 котельная+парогенераторная'!T93</f>
        <v>1.9300000000000001E-2</v>
      </c>
      <c r="K26" s="639">
        <f>'1 котельная+парогенераторная'!U93</f>
        <v>0.33679999999999999</v>
      </c>
      <c r="L26" s="635">
        <f>'1 котельная+парогенераторная'!T93</f>
        <v>1.9300000000000001E-2</v>
      </c>
      <c r="M26" s="636">
        <f>'1 котельная+парогенераторная'!U93</f>
        <v>0.33679999999999999</v>
      </c>
      <c r="N26" s="635">
        <f>'1 котельная+парогенераторная'!T125</f>
        <v>1.9300000000000001E-2</v>
      </c>
      <c r="O26" s="636">
        <f>'1 котельная+парогенераторная'!U125</f>
        <v>4.7699999999999999E-2</v>
      </c>
    </row>
    <row r="27" spans="2:15" ht="15" customHeight="1" x14ac:dyDescent="0.25">
      <c r="B27" s="1011"/>
      <c r="C27" s="528"/>
      <c r="D27" s="633" t="str">
        <f>'1 котельная+парогенераторная'!Q94</f>
        <v>Серы диоксид</v>
      </c>
      <c r="E27" s="634" t="str">
        <f>'1 котельная+парогенераторная'!R94</f>
        <v>0330</v>
      </c>
      <c r="F27" s="635">
        <f>'1 котельная+парогенераторная'!T94</f>
        <v>3.78E-2</v>
      </c>
      <c r="G27" s="636">
        <f>'1 котельная+парогенераторная'!U94</f>
        <v>0.65990000000000004</v>
      </c>
      <c r="H27" s="637">
        <f>'1 котельная+парогенераторная'!T94</f>
        <v>3.78E-2</v>
      </c>
      <c r="I27" s="638">
        <f>'1 котельная+парогенераторная'!U94</f>
        <v>0.65990000000000004</v>
      </c>
      <c r="J27" s="635">
        <f>'1 котельная+парогенераторная'!T94</f>
        <v>3.78E-2</v>
      </c>
      <c r="K27" s="639">
        <f>'1 котельная+парогенераторная'!U94</f>
        <v>0.65990000000000004</v>
      </c>
      <c r="L27" s="635">
        <f>'1 котельная+парогенераторная'!T94</f>
        <v>3.78E-2</v>
      </c>
      <c r="M27" s="636">
        <f>'1 котельная+парогенераторная'!U94</f>
        <v>0.65990000000000004</v>
      </c>
      <c r="N27" s="635">
        <f>'1 котельная+парогенераторная'!T126</f>
        <v>3.78E-2</v>
      </c>
      <c r="O27" s="636">
        <f>'1 котельная+парогенераторная'!U126</f>
        <v>9.3399999999999997E-2</v>
      </c>
    </row>
    <row r="28" spans="2:15" ht="15" customHeight="1" x14ac:dyDescent="0.25">
      <c r="B28" s="1011"/>
      <c r="C28" s="528"/>
      <c r="D28" s="633" t="str">
        <f>'1 котельная+парогенераторная'!Q95</f>
        <v xml:space="preserve">Углерод </v>
      </c>
      <c r="E28" s="634" t="str">
        <f>'1 котельная+парогенераторная'!R95</f>
        <v>0328</v>
      </c>
      <c r="F28" s="635">
        <f>'1 котельная+парогенераторная'!T95</f>
        <v>3.8999999999999998E-3</v>
      </c>
      <c r="G28" s="636">
        <f>'1 котельная+парогенераторная'!U95</f>
        <v>6.7299999999999999E-2</v>
      </c>
      <c r="H28" s="637">
        <f>'1 котельная+парогенераторная'!T95</f>
        <v>3.8999999999999998E-3</v>
      </c>
      <c r="I28" s="638">
        <f>'1 котельная+парогенераторная'!U95</f>
        <v>6.7299999999999999E-2</v>
      </c>
      <c r="J28" s="635">
        <f>'1 котельная+парогенераторная'!T95</f>
        <v>3.8999999999999998E-3</v>
      </c>
      <c r="K28" s="639">
        <f>'1 котельная+парогенераторная'!U95</f>
        <v>6.7299999999999999E-2</v>
      </c>
      <c r="L28" s="635">
        <f>'1 котельная+парогенераторная'!T95</f>
        <v>3.8999999999999998E-3</v>
      </c>
      <c r="M28" s="636">
        <f>'1 котельная+парогенераторная'!U95</f>
        <v>6.7299999999999999E-2</v>
      </c>
      <c r="N28" s="635">
        <f>'1 котельная+парогенераторная'!T127</f>
        <v>3.8999999999999998E-3</v>
      </c>
      <c r="O28" s="636">
        <f>'1 котельная+парогенераторная'!U127</f>
        <v>9.4999999999999998E-3</v>
      </c>
    </row>
    <row r="29" spans="2:15" ht="15" customHeight="1" x14ac:dyDescent="0.25">
      <c r="B29" s="1013"/>
      <c r="C29" s="529"/>
      <c r="D29" s="640" t="str">
        <f>'1 котельная+парогенераторная'!Q96</f>
        <v>Углерода оксид</v>
      </c>
      <c r="E29" s="641" t="str">
        <f>'1 котельная+парогенераторная'!R96</f>
        <v>0337</v>
      </c>
      <c r="F29" s="642">
        <f>'1 котельная+парогенераторная'!T96</f>
        <v>0.5363</v>
      </c>
      <c r="G29" s="643">
        <f>'1 котельная+парогенераторная'!U96</f>
        <v>9.3562999999999992</v>
      </c>
      <c r="H29" s="644">
        <f>'1 котельная+парогенераторная'!T96</f>
        <v>0.5363</v>
      </c>
      <c r="I29" s="645">
        <f>'1 котельная+парогенераторная'!U96</f>
        <v>9.3562999999999992</v>
      </c>
      <c r="J29" s="642">
        <f>'1 котельная+парогенераторная'!T96</f>
        <v>0.5363</v>
      </c>
      <c r="K29" s="646">
        <f>'1 котельная+парогенераторная'!U96</f>
        <v>9.3562999999999992</v>
      </c>
      <c r="L29" s="642">
        <f>'1 котельная+парогенераторная'!T96</f>
        <v>0.5363</v>
      </c>
      <c r="M29" s="643">
        <f>'1 котельная+парогенераторная'!U96</f>
        <v>9.3562999999999992</v>
      </c>
      <c r="N29" s="642">
        <f>'1 котельная+парогенераторная'!T128</f>
        <v>0.5363</v>
      </c>
      <c r="O29" s="643">
        <f>'1 котельная+парогенераторная'!U128</f>
        <v>1.3244</v>
      </c>
    </row>
    <row r="30" spans="2:15" s="530" customFormat="1" ht="33.950000000000003" customHeight="1" x14ac:dyDescent="0.25">
      <c r="B30" s="1010" t="s">
        <v>1164</v>
      </c>
      <c r="C30" s="525" t="s">
        <v>98</v>
      </c>
      <c r="D30" s="647" t="str">
        <f>'2 склад резервуаров ДТ'!Q33</f>
        <v>Углеводороды  предельные С12-С19</v>
      </c>
      <c r="E30" s="648">
        <f>'2 склад резервуаров ДТ'!R33</f>
        <v>2754</v>
      </c>
      <c r="F30" s="649">
        <f>'2 склад резервуаров ДТ'!T33</f>
        <v>8.26E-3</v>
      </c>
      <c r="G30" s="650">
        <f>'2 склад резервуаров ДТ'!U33</f>
        <v>1.1471E-2</v>
      </c>
      <c r="H30" s="649">
        <f>'2 склад резервуаров ДТ'!T33</f>
        <v>8.26E-3</v>
      </c>
      <c r="I30" s="648">
        <f>'2 склад резервуаров ДТ'!U33</f>
        <v>1.1471E-2</v>
      </c>
      <c r="J30" s="651">
        <f>'2 склад резервуаров ДТ'!T33</f>
        <v>8.26E-3</v>
      </c>
      <c r="K30" s="652">
        <f>'2 склад резервуаров ДТ'!U33</f>
        <v>1.1471E-2</v>
      </c>
      <c r="L30" s="649">
        <f>'2 склад резервуаров ДТ'!T33</f>
        <v>8.26E-3</v>
      </c>
      <c r="M30" s="650">
        <f>'2 склад резервуаров ДТ'!U33</f>
        <v>1.1471E-2</v>
      </c>
      <c r="N30" s="651">
        <f>'2 склад резервуаров ДТ'!T38</f>
        <v>8.26E-3</v>
      </c>
      <c r="O30" s="650">
        <f>'2 склад резервуаров ДТ'!U38</f>
        <v>1.0866000000000001E-2</v>
      </c>
    </row>
    <row r="31" spans="2:15" s="530" customFormat="1" ht="33.950000000000003" customHeight="1" x14ac:dyDescent="0.25">
      <c r="B31" s="1011"/>
      <c r="C31" s="529"/>
      <c r="D31" s="653" t="str">
        <f>'2 склад резервуаров ДТ'!Q34</f>
        <v>Сероводород</v>
      </c>
      <c r="E31" s="654" t="str">
        <f>'2 склад резервуаров ДТ'!R34</f>
        <v>0333</v>
      </c>
      <c r="F31" s="655">
        <f>'2 склад резервуаров ДТ'!T34</f>
        <v>2.3E-5</v>
      </c>
      <c r="G31" s="656">
        <f>'2 склад резервуаров ДТ'!U34</f>
        <v>3.1999999999999999E-5</v>
      </c>
      <c r="H31" s="655">
        <f>'2 склад резервуаров ДТ'!T34</f>
        <v>2.3E-5</v>
      </c>
      <c r="I31" s="654">
        <f>'2 склад резервуаров ДТ'!U34</f>
        <v>3.1999999999999999E-5</v>
      </c>
      <c r="J31" s="657">
        <f>'2 склад резервуаров ДТ'!T34</f>
        <v>2.3E-5</v>
      </c>
      <c r="K31" s="658">
        <f>'2 склад резервуаров ДТ'!U34</f>
        <v>3.1999999999999999E-5</v>
      </c>
      <c r="L31" s="655">
        <f>'2 склад резервуаров ДТ'!T34</f>
        <v>2.3E-5</v>
      </c>
      <c r="M31" s="656">
        <f>'2 склад резервуаров ДТ'!U34</f>
        <v>3.1999999999999999E-5</v>
      </c>
      <c r="N31" s="657">
        <f>'2 склад резервуаров ДТ'!T39</f>
        <v>2.3E-5</v>
      </c>
      <c r="O31" s="656">
        <f>'2 склад резервуаров ДТ'!U39</f>
        <v>3.1000000000000001E-5</v>
      </c>
    </row>
    <row r="32" spans="2:15" s="530" customFormat="1" ht="33.950000000000003" customHeight="1" x14ac:dyDescent="0.25">
      <c r="B32" s="1010" t="s">
        <v>1164</v>
      </c>
      <c r="C32" s="528" t="s">
        <v>107</v>
      </c>
      <c r="D32" s="647" t="str">
        <f>'2 склад резервуаров ДТ'!Q35</f>
        <v>Углеводороды  предельные С12-С19</v>
      </c>
      <c r="E32" s="648">
        <f>'2 склад резервуаров ДТ'!R35</f>
        <v>2754</v>
      </c>
      <c r="F32" s="649">
        <f>'2 склад резервуаров ДТ'!T35</f>
        <v>8.26E-3</v>
      </c>
      <c r="G32" s="650">
        <f>'2 склад резервуаров ДТ'!U35</f>
        <v>1.1471E-2</v>
      </c>
      <c r="H32" s="649">
        <f>'2 склад резервуаров ДТ'!T35</f>
        <v>8.26E-3</v>
      </c>
      <c r="I32" s="648">
        <f>'2 склад резервуаров ДТ'!U35</f>
        <v>1.1471E-2</v>
      </c>
      <c r="J32" s="651">
        <f>'2 склад резервуаров ДТ'!T35</f>
        <v>8.26E-3</v>
      </c>
      <c r="K32" s="652">
        <f>'2 склад резервуаров ДТ'!U35</f>
        <v>1.1471E-2</v>
      </c>
      <c r="L32" s="649">
        <f>'2 склад резервуаров ДТ'!T35</f>
        <v>8.26E-3</v>
      </c>
      <c r="M32" s="650">
        <f>'2 склад резервуаров ДТ'!U35</f>
        <v>1.1471E-2</v>
      </c>
      <c r="N32" s="651">
        <f>'2 склад резервуаров ДТ'!T40</f>
        <v>8.26E-3</v>
      </c>
      <c r="O32" s="650">
        <f>'2 склад резервуаров ДТ'!U40</f>
        <v>1.0866000000000001E-2</v>
      </c>
    </row>
    <row r="33" spans="2:15" s="530" customFormat="1" ht="33.950000000000003" customHeight="1" x14ac:dyDescent="0.25">
      <c r="B33" s="1013"/>
      <c r="C33" s="529"/>
      <c r="D33" s="653" t="str">
        <f>'2 склад резервуаров ДТ'!Q36</f>
        <v>Сероводород</v>
      </c>
      <c r="E33" s="654" t="str">
        <f>'2 склад резервуаров ДТ'!R36</f>
        <v>0333</v>
      </c>
      <c r="F33" s="655">
        <f>'2 склад резервуаров ДТ'!T36</f>
        <v>2.3E-5</v>
      </c>
      <c r="G33" s="656">
        <f>'2 склад резервуаров ДТ'!U36</f>
        <v>3.1999999999999999E-5</v>
      </c>
      <c r="H33" s="655">
        <f>'2 склад резервуаров ДТ'!T36</f>
        <v>2.3E-5</v>
      </c>
      <c r="I33" s="654">
        <f>'2 склад резервуаров ДТ'!U36</f>
        <v>3.1999999999999999E-5</v>
      </c>
      <c r="J33" s="657">
        <f>'2 склад резервуаров ДТ'!T36</f>
        <v>2.3E-5</v>
      </c>
      <c r="K33" s="658">
        <f>'2 склад резервуаров ДТ'!U36</f>
        <v>3.1999999999999999E-5</v>
      </c>
      <c r="L33" s="655">
        <f>'2 склад резервуаров ДТ'!T36</f>
        <v>2.3E-5</v>
      </c>
      <c r="M33" s="656">
        <f>'2 склад резервуаров ДТ'!U36</f>
        <v>3.1999999999999999E-5</v>
      </c>
      <c r="N33" s="657">
        <f>'2 склад резервуаров ДТ'!T41</f>
        <v>2.3E-5</v>
      </c>
      <c r="O33" s="656">
        <f>'2 склад резервуаров ДТ'!U41</f>
        <v>3.1000000000000001E-5</v>
      </c>
    </row>
    <row r="34" spans="2:15" ht="15" customHeight="1" x14ac:dyDescent="0.25">
      <c r="B34" s="1010" t="s">
        <v>1167</v>
      </c>
      <c r="C34" s="525" t="s">
        <v>149</v>
      </c>
      <c r="D34" s="626" t="str">
        <f>'4 сварка'!L83</f>
        <v>Железа оксид</v>
      </c>
      <c r="E34" s="627" t="str">
        <f>'4 сварка'!M83</f>
        <v>0123</v>
      </c>
      <c r="F34" s="630"/>
      <c r="G34" s="629"/>
      <c r="H34" s="630">
        <f>'4 сварка'!Q83</f>
        <v>1.6839999999999997E-3</v>
      </c>
      <c r="I34" s="627">
        <f>'4 сварка'!R83</f>
        <v>5.6420000000000003E-3</v>
      </c>
      <c r="J34" s="628">
        <f>'4 сварка'!Q83</f>
        <v>1.6839999999999997E-3</v>
      </c>
      <c r="K34" s="659">
        <f>'4 сварка'!R83</f>
        <v>5.6420000000000003E-3</v>
      </c>
      <c r="L34" s="630">
        <f>'4 сварка'!Q83</f>
        <v>1.6839999999999997E-3</v>
      </c>
      <c r="M34" s="629">
        <f>'4 сварка'!R83</f>
        <v>5.6420000000000003E-3</v>
      </c>
      <c r="N34" s="630">
        <f>'4 сварка'!Q83</f>
        <v>1.6839999999999997E-3</v>
      </c>
      <c r="O34" s="629">
        <f>'4 сварка'!R83</f>
        <v>5.6420000000000003E-3</v>
      </c>
    </row>
    <row r="35" spans="2:15" ht="15" customHeight="1" x14ac:dyDescent="0.25">
      <c r="B35" s="1011"/>
      <c r="C35" s="528"/>
      <c r="D35" s="633" t="str">
        <f>'4 сварка'!L84</f>
        <v>Марганец и его соед.</v>
      </c>
      <c r="E35" s="634" t="str">
        <f>'4 сварка'!M84</f>
        <v>0143</v>
      </c>
      <c r="F35" s="637"/>
      <c r="G35" s="636"/>
      <c r="H35" s="637">
        <f>'4 сварка'!Q84</f>
        <v>1.37E-4</v>
      </c>
      <c r="I35" s="634">
        <f>'4 сварка'!R84</f>
        <v>3.6899999999999997E-4</v>
      </c>
      <c r="J35" s="635">
        <f>'4 сварка'!Q84</f>
        <v>1.37E-4</v>
      </c>
      <c r="K35" s="531">
        <f>'4 сварка'!R84</f>
        <v>3.6899999999999997E-4</v>
      </c>
      <c r="L35" s="637">
        <f>'4 сварка'!Q84</f>
        <v>1.37E-4</v>
      </c>
      <c r="M35" s="636">
        <f>'4 сварка'!R84</f>
        <v>3.6899999999999997E-4</v>
      </c>
      <c r="N35" s="637">
        <f>'4 сварка'!Q84</f>
        <v>1.37E-4</v>
      </c>
      <c r="O35" s="636">
        <f>'4 сварка'!R84</f>
        <v>3.6899999999999997E-4</v>
      </c>
    </row>
    <row r="36" spans="2:15" ht="15" customHeight="1" x14ac:dyDescent="0.25">
      <c r="B36" s="1011"/>
      <c r="C36" s="528"/>
      <c r="D36" s="633" t="str">
        <f>'4 сварка'!L85</f>
        <v>Азота диоксид</v>
      </c>
      <c r="E36" s="634" t="str">
        <f>'4 сварка'!M85</f>
        <v>0301</v>
      </c>
      <c r="F36" s="637"/>
      <c r="G36" s="636"/>
      <c r="H36" s="637">
        <f>'4 сварка'!Q85</f>
        <v>1.0059999999999999E-2</v>
      </c>
      <c r="I36" s="634">
        <f>'4 сварка'!R85</f>
        <v>3.5569999999999991E-2</v>
      </c>
      <c r="J36" s="635">
        <f>'4 сварка'!Q85</f>
        <v>1.0059999999999999E-2</v>
      </c>
      <c r="K36" s="531">
        <f>'4 сварка'!R85</f>
        <v>3.5569999999999991E-2</v>
      </c>
      <c r="L36" s="637">
        <f>'4 сварка'!Q85</f>
        <v>1.0059999999999999E-2</v>
      </c>
      <c r="M36" s="636">
        <f>'4 сварка'!R85</f>
        <v>3.5569999999999991E-2</v>
      </c>
      <c r="N36" s="637">
        <f>'4 сварка'!Q85</f>
        <v>1.0059999999999999E-2</v>
      </c>
      <c r="O36" s="636">
        <f>'4 сварка'!R85</f>
        <v>3.5569999999999991E-2</v>
      </c>
    </row>
    <row r="37" spans="2:15" ht="15" customHeight="1" x14ac:dyDescent="0.25">
      <c r="B37" s="1011"/>
      <c r="C37" s="528"/>
      <c r="D37" s="633" t="str">
        <f>'4 сварка'!L86</f>
        <v>Углерод оксид</v>
      </c>
      <c r="E37" s="634" t="str">
        <f>'4 сварка'!M86</f>
        <v>0337</v>
      </c>
      <c r="F37" s="637"/>
      <c r="G37" s="636"/>
      <c r="H37" s="637">
        <f>'4 сварка'!Q86</f>
        <v>2.0869999999999996E-2</v>
      </c>
      <c r="I37" s="634">
        <f>'4 сварка'!R86</f>
        <v>7.7689999999999995E-2</v>
      </c>
      <c r="J37" s="635">
        <f>'4 сварка'!Q86</f>
        <v>2.0869999999999996E-2</v>
      </c>
      <c r="K37" s="531">
        <f>'4 сварка'!R86</f>
        <v>7.7689999999999995E-2</v>
      </c>
      <c r="L37" s="637">
        <f>'4 сварка'!Q86</f>
        <v>2.0869999999999996E-2</v>
      </c>
      <c r="M37" s="636">
        <f>'4 сварка'!R86</f>
        <v>7.7689999999999995E-2</v>
      </c>
      <c r="N37" s="637">
        <f>'4 сварка'!Q86</f>
        <v>2.0869999999999996E-2</v>
      </c>
      <c r="O37" s="636">
        <f>'4 сварка'!R86</f>
        <v>7.7689999999999995E-2</v>
      </c>
    </row>
    <row r="38" spans="2:15" ht="15" customHeight="1" x14ac:dyDescent="0.25">
      <c r="B38" s="1011"/>
      <c r="C38" s="528"/>
      <c r="D38" s="633" t="str">
        <f>'4 сварка'!L87</f>
        <v>Фториды</v>
      </c>
      <c r="E38" s="634" t="str">
        <f>'4 сварка'!M87</f>
        <v>0344</v>
      </c>
      <c r="F38" s="637"/>
      <c r="G38" s="636"/>
      <c r="H38" s="637">
        <f>'4 сварка'!Q87</f>
        <v>1.5300000000000001E-4</v>
      </c>
      <c r="I38" s="634">
        <f>'4 сварка'!R87</f>
        <v>5.8E-4</v>
      </c>
      <c r="J38" s="635">
        <f>'4 сварка'!Q87</f>
        <v>1.5300000000000001E-4</v>
      </c>
      <c r="K38" s="531">
        <f>'4 сварка'!R87</f>
        <v>5.8E-4</v>
      </c>
      <c r="L38" s="637">
        <f>'4 сварка'!Q87</f>
        <v>1.5300000000000001E-4</v>
      </c>
      <c r="M38" s="636">
        <f>'4 сварка'!R87</f>
        <v>5.8E-4</v>
      </c>
      <c r="N38" s="637">
        <f>'4 сварка'!Q87</f>
        <v>1.5300000000000001E-4</v>
      </c>
      <c r="O38" s="636">
        <f>'4 сварка'!R87</f>
        <v>5.8E-4</v>
      </c>
    </row>
    <row r="39" spans="2:15" ht="15" customHeight="1" x14ac:dyDescent="0.25">
      <c r="B39" s="1011"/>
      <c r="C39" s="528"/>
      <c r="D39" s="633" t="str">
        <f>'4 сварка'!L88</f>
        <v>Пыль 70-20 % SiO2</v>
      </c>
      <c r="E39" s="634">
        <f>'4 сварка'!M88</f>
        <v>2908</v>
      </c>
      <c r="F39" s="637"/>
      <c r="G39" s="636"/>
      <c r="H39" s="637">
        <f>'4 сварка'!Q88</f>
        <v>8.5000000000000006E-5</v>
      </c>
      <c r="I39" s="634">
        <f>'4 сварка'!R88</f>
        <v>2.7900000000000006E-4</v>
      </c>
      <c r="J39" s="635">
        <f>'4 сварка'!Q88</f>
        <v>8.5000000000000006E-5</v>
      </c>
      <c r="K39" s="531">
        <f>'4 сварка'!R88</f>
        <v>2.7900000000000006E-4</v>
      </c>
      <c r="L39" s="637">
        <f>'4 сварка'!Q88</f>
        <v>8.5000000000000006E-5</v>
      </c>
      <c r="M39" s="636">
        <f>'4 сварка'!R88</f>
        <v>2.7900000000000006E-4</v>
      </c>
      <c r="N39" s="637">
        <f>'4 сварка'!Q88</f>
        <v>8.5000000000000006E-5</v>
      </c>
      <c r="O39" s="636">
        <f>'4 сварка'!R88</f>
        <v>2.7900000000000006E-4</v>
      </c>
    </row>
    <row r="40" spans="2:15" ht="15" customHeight="1" x14ac:dyDescent="0.25">
      <c r="B40" s="1011"/>
      <c r="C40" s="528"/>
      <c r="D40" s="633" t="str">
        <f>'4 сварка'!L89</f>
        <v>Фтористые газ.соед</v>
      </c>
      <c r="E40" s="634" t="str">
        <f>'4 сварка'!M89</f>
        <v>0342</v>
      </c>
      <c r="F40" s="637"/>
      <c r="G40" s="636"/>
      <c r="H40" s="637">
        <f>'4 сварка'!Q89</f>
        <v>6.8999999999999997E-4</v>
      </c>
      <c r="I40" s="634">
        <f>'4 сварка'!R89</f>
        <v>2.6900000000000001E-3</v>
      </c>
      <c r="J40" s="635">
        <f>'4 сварка'!Q89</f>
        <v>6.8999999999999997E-4</v>
      </c>
      <c r="K40" s="531">
        <f>'4 сварка'!R89</f>
        <v>2.6900000000000001E-3</v>
      </c>
      <c r="L40" s="637">
        <f>'4 сварка'!Q89</f>
        <v>6.8999999999999997E-4</v>
      </c>
      <c r="M40" s="636">
        <f>'4 сварка'!R89</f>
        <v>2.6900000000000001E-3</v>
      </c>
      <c r="N40" s="637">
        <f>'4 сварка'!Q89</f>
        <v>6.8999999999999997E-4</v>
      </c>
      <c r="O40" s="636">
        <f>'4 сварка'!R89</f>
        <v>2.6900000000000001E-3</v>
      </c>
    </row>
    <row r="41" spans="2:15" ht="15" customHeight="1" x14ac:dyDescent="0.25">
      <c r="B41" s="1011"/>
      <c r="C41" s="528"/>
      <c r="D41" s="633" t="str">
        <f>'5 станки'!H31</f>
        <v>Пыль абразивная</v>
      </c>
      <c r="E41" s="638">
        <f>'5 станки'!I31</f>
        <v>2930</v>
      </c>
      <c r="F41" s="637"/>
      <c r="G41" s="636"/>
      <c r="H41" s="637">
        <f>'5 станки'!M31</f>
        <v>4.0200000000000001E-3</v>
      </c>
      <c r="I41" s="634">
        <f>'5 станки'!N31</f>
        <v>3.2499999999999999E-3</v>
      </c>
      <c r="J41" s="635">
        <f>'5 станки'!M31</f>
        <v>4.0200000000000001E-3</v>
      </c>
      <c r="K41" s="531">
        <f>'5 станки'!N31</f>
        <v>3.2499999999999999E-3</v>
      </c>
      <c r="L41" s="637">
        <f>'5 станки'!M31</f>
        <v>4.0200000000000001E-3</v>
      </c>
      <c r="M41" s="636">
        <f>'5 станки'!N31</f>
        <v>3.2499999999999999E-3</v>
      </c>
      <c r="N41" s="637">
        <f>'5 станки'!M31</f>
        <v>4.0200000000000001E-3</v>
      </c>
      <c r="O41" s="636">
        <f>'5 станки'!N31</f>
        <v>3.2499999999999999E-3</v>
      </c>
    </row>
    <row r="42" spans="2:15" ht="15" customHeight="1" x14ac:dyDescent="0.25">
      <c r="B42" s="1011"/>
      <c r="C42" s="528"/>
      <c r="D42" s="633" t="str">
        <f>'5 станки'!H32</f>
        <v xml:space="preserve">Взвешенные частицы </v>
      </c>
      <c r="E42" s="638">
        <f>'5 станки'!I32</f>
        <v>2902</v>
      </c>
      <c r="F42" s="637"/>
      <c r="G42" s="636"/>
      <c r="H42" s="637">
        <f>'5 станки'!M32</f>
        <v>7.4900000000000001E-3</v>
      </c>
      <c r="I42" s="634">
        <f>'5 станки'!N32</f>
        <v>6.2499999999999995E-3</v>
      </c>
      <c r="J42" s="635">
        <f>'5 станки'!M32</f>
        <v>7.4900000000000001E-3</v>
      </c>
      <c r="K42" s="531">
        <f>'5 станки'!N32</f>
        <v>6.2499999999999995E-3</v>
      </c>
      <c r="L42" s="637">
        <f>'5 станки'!M32</f>
        <v>7.4900000000000001E-3</v>
      </c>
      <c r="M42" s="636">
        <f>'5 станки'!N32</f>
        <v>6.2499999999999995E-3</v>
      </c>
      <c r="N42" s="637">
        <f>'5 станки'!M32</f>
        <v>7.4900000000000001E-3</v>
      </c>
      <c r="O42" s="636">
        <f>'5 станки'!N32</f>
        <v>6.2499999999999995E-3</v>
      </c>
    </row>
    <row r="43" spans="2:15" ht="50.25" customHeight="1" x14ac:dyDescent="0.25">
      <c r="B43" s="1011"/>
      <c r="C43" s="528"/>
      <c r="D43" s="633" t="str">
        <f>'6 мойка деталей, обезжиривание'!G24</f>
        <v>Натрия карбонат (сода кальцинированная)</v>
      </c>
      <c r="E43" s="638" t="str">
        <f>'6 мойка деталей, обезжиривание'!H24</f>
        <v>0155</v>
      </c>
      <c r="F43" s="637"/>
      <c r="G43" s="636"/>
      <c r="H43" s="637">
        <f>'6 мойка деталей, обезжиривание'!I24</f>
        <v>7.2000000000000005E-4</v>
      </c>
      <c r="I43" s="634">
        <f>'6 мойка деталей, обезжиривание'!J24</f>
        <v>7.2999999999999996E-4</v>
      </c>
      <c r="J43" s="635">
        <f>'6 мойка деталей, обезжиривание'!I24</f>
        <v>7.2000000000000005E-4</v>
      </c>
      <c r="K43" s="531">
        <f>'6 мойка деталей, обезжиривание'!J24</f>
        <v>7.2999999999999996E-4</v>
      </c>
      <c r="L43" s="637">
        <f>'6 мойка деталей, обезжиривание'!I24</f>
        <v>7.2000000000000005E-4</v>
      </c>
      <c r="M43" s="636">
        <f>'6 мойка деталей, обезжиривание'!J24</f>
        <v>7.2999999999999996E-4</v>
      </c>
      <c r="N43" s="637">
        <f>'6 мойка деталей, обезжиривание'!I24</f>
        <v>7.2000000000000005E-4</v>
      </c>
      <c r="O43" s="636">
        <f>'6 мойка деталей, обезжиривание'!J24</f>
        <v>7.2999999999999996E-4</v>
      </c>
    </row>
    <row r="44" spans="2:15" ht="33" customHeight="1" x14ac:dyDescent="0.25">
      <c r="B44" s="1013"/>
      <c r="C44" s="529"/>
      <c r="D44" s="640" t="str">
        <f>'11 абразивоструйка'!G28</f>
        <v xml:space="preserve">Пыль неорганич. с сод. SiO2 выше 70% </v>
      </c>
      <c r="E44" s="660" t="str">
        <f>'11 абразивоструйка'!H28</f>
        <v>2907</v>
      </c>
      <c r="F44" s="644"/>
      <c r="G44" s="643"/>
      <c r="H44" s="644">
        <f>'11 абразивоструйка'!J28</f>
        <v>1.3999999999999999E-4</v>
      </c>
      <c r="I44" s="641">
        <f>'11 абразивоструйка'!K28</f>
        <v>2.5000000000000001E-4</v>
      </c>
      <c r="J44" s="642">
        <f>'11 абразивоструйка'!J28</f>
        <v>1.3999999999999999E-4</v>
      </c>
      <c r="K44" s="661">
        <f>'11 абразивоструйка'!K28</f>
        <v>2.5000000000000001E-4</v>
      </c>
      <c r="L44" s="644">
        <f>'11 абразивоструйка'!J28</f>
        <v>1.3999999999999999E-4</v>
      </c>
      <c r="M44" s="643">
        <f>'11 абразивоструйка'!K28</f>
        <v>2.5000000000000001E-4</v>
      </c>
      <c r="N44" s="644">
        <f>'11 абразивоструйка'!J28</f>
        <v>1.3999999999999999E-4</v>
      </c>
      <c r="O44" s="643">
        <f>'11 абразивоструйка'!K28</f>
        <v>2.5000000000000001E-4</v>
      </c>
    </row>
    <row r="45" spans="2:15" s="530" customFormat="1" ht="69.95" customHeight="1" x14ac:dyDescent="0.25">
      <c r="B45" s="524" t="s">
        <v>1171</v>
      </c>
      <c r="C45" s="525" t="s">
        <v>219</v>
      </c>
      <c r="D45" s="662" t="str">
        <f>'6 мойка деталей, обезжиривание'!G26</f>
        <v>Натрия карбонат (сода кальцинированная)</v>
      </c>
      <c r="E45" s="663" t="str">
        <f>'6 мойка деталей, обезжиривание'!H26</f>
        <v>0155</v>
      </c>
      <c r="F45" s="664"/>
      <c r="G45" s="665"/>
      <c r="H45" s="664">
        <f>'6 мойка деталей, обезжиривание'!I26</f>
        <v>1.6800000000000001E-3</v>
      </c>
      <c r="I45" s="666">
        <f>'6 мойка деталей, обезжиривание'!J26</f>
        <v>1.6900000000000001E-3</v>
      </c>
      <c r="J45" s="667">
        <f>'6 мойка деталей, обезжиривание'!I26</f>
        <v>1.6800000000000001E-3</v>
      </c>
      <c r="K45" s="668">
        <f>'6 мойка деталей, обезжиривание'!J26</f>
        <v>1.6900000000000001E-3</v>
      </c>
      <c r="L45" s="664">
        <f>'6 мойка деталей, обезжиривание'!I26</f>
        <v>1.6800000000000001E-3</v>
      </c>
      <c r="M45" s="665">
        <f>'6 мойка деталей, обезжиривание'!J26</f>
        <v>1.6900000000000001E-3</v>
      </c>
      <c r="N45" s="664">
        <f>'6 мойка деталей, обезжиривание'!I26</f>
        <v>1.6800000000000001E-3</v>
      </c>
      <c r="O45" s="665">
        <f>'6 мойка деталей, обезжиривание'!J26</f>
        <v>1.6900000000000001E-3</v>
      </c>
    </row>
    <row r="46" spans="2:15" ht="15" customHeight="1" x14ac:dyDescent="0.25">
      <c r="B46" s="1010" t="s">
        <v>1168</v>
      </c>
      <c r="C46" s="525" t="s">
        <v>262</v>
      </c>
      <c r="D46" s="633" t="str">
        <f>'4 сварка'!L105</f>
        <v>Железа оксид</v>
      </c>
      <c r="E46" s="638" t="str">
        <f>'4 сварка'!M105</f>
        <v>0123</v>
      </c>
      <c r="F46" s="637"/>
      <c r="G46" s="636"/>
      <c r="H46" s="637">
        <f>'4 сварка'!Q105</f>
        <v>1.8799999999999999E-4</v>
      </c>
      <c r="I46" s="634">
        <f>'4 сварка'!R105</f>
        <v>1.7999999999999998E-4</v>
      </c>
      <c r="J46" s="635">
        <f>'4 сварка'!Q105</f>
        <v>1.8799999999999999E-4</v>
      </c>
      <c r="K46" s="531">
        <f>'4 сварка'!R105</f>
        <v>1.7999999999999998E-4</v>
      </c>
      <c r="L46" s="637">
        <f>'4 сварка'!Q105</f>
        <v>1.8799999999999999E-4</v>
      </c>
      <c r="M46" s="636">
        <f>'4 сварка'!R105</f>
        <v>1.7999999999999998E-4</v>
      </c>
      <c r="N46" s="637">
        <f>'4 сварка'!Q105</f>
        <v>1.8799999999999999E-4</v>
      </c>
      <c r="O46" s="636">
        <f>'4 сварка'!R105</f>
        <v>1.7999999999999998E-4</v>
      </c>
    </row>
    <row r="47" spans="2:15" ht="15" customHeight="1" x14ac:dyDescent="0.25">
      <c r="B47" s="1011"/>
      <c r="C47" s="528"/>
      <c r="D47" s="633" t="str">
        <f>'4 сварка'!L106</f>
        <v>Марганец и его соед.</v>
      </c>
      <c r="E47" s="638" t="str">
        <f>'4 сварка'!M106</f>
        <v>0143</v>
      </c>
      <c r="F47" s="637"/>
      <c r="G47" s="636"/>
      <c r="H47" s="637">
        <f>'4 сварка'!Q106</f>
        <v>2.0000000000000002E-5</v>
      </c>
      <c r="I47" s="634">
        <f>'4 сварка'!R106</f>
        <v>1.5000000000000002E-5</v>
      </c>
      <c r="J47" s="635">
        <f>'4 сварка'!Q106</f>
        <v>2.0000000000000002E-5</v>
      </c>
      <c r="K47" s="531">
        <f>'4 сварка'!R106</f>
        <v>1.5000000000000002E-5</v>
      </c>
      <c r="L47" s="637">
        <f>'4 сварка'!Q106</f>
        <v>2.0000000000000002E-5</v>
      </c>
      <c r="M47" s="636">
        <f>'4 сварка'!R106</f>
        <v>1.5000000000000002E-5</v>
      </c>
      <c r="N47" s="637">
        <f>'4 сварка'!Q106</f>
        <v>2.0000000000000002E-5</v>
      </c>
      <c r="O47" s="636">
        <f>'4 сварка'!R106</f>
        <v>1.5000000000000002E-5</v>
      </c>
    </row>
    <row r="48" spans="2:15" ht="15" customHeight="1" x14ac:dyDescent="0.25">
      <c r="B48" s="1011"/>
      <c r="C48" s="528"/>
      <c r="D48" s="633" t="str">
        <f>'4 сварка'!L107</f>
        <v>Азота диоксид</v>
      </c>
      <c r="E48" s="638" t="str">
        <f>'4 сварка'!M107</f>
        <v>0301</v>
      </c>
      <c r="F48" s="637"/>
      <c r="G48" s="636"/>
      <c r="H48" s="637">
        <f>'4 сварка'!Q107</f>
        <v>5.1999999999999995E-4</v>
      </c>
      <c r="I48" s="634">
        <f>'4 сварка'!R107</f>
        <v>5.1000000000000004E-4</v>
      </c>
      <c r="J48" s="635">
        <f>'4 сварка'!Q107</f>
        <v>5.1999999999999995E-4</v>
      </c>
      <c r="K48" s="531">
        <f>'4 сварка'!R107</f>
        <v>5.1000000000000004E-4</v>
      </c>
      <c r="L48" s="637">
        <f>'4 сварка'!Q107</f>
        <v>5.1999999999999995E-4</v>
      </c>
      <c r="M48" s="636">
        <f>'4 сварка'!R107</f>
        <v>5.1000000000000004E-4</v>
      </c>
      <c r="N48" s="637">
        <f>'4 сварка'!Q107</f>
        <v>5.1999999999999995E-4</v>
      </c>
      <c r="O48" s="636">
        <f>'4 сварка'!R107</f>
        <v>5.1000000000000004E-4</v>
      </c>
    </row>
    <row r="49" spans="2:15" ht="15" customHeight="1" x14ac:dyDescent="0.25">
      <c r="B49" s="1011"/>
      <c r="C49" s="528"/>
      <c r="D49" s="633" t="str">
        <f>'4 сварка'!L108</f>
        <v>Углерод оксид</v>
      </c>
      <c r="E49" s="638" t="str">
        <f>'4 сварка'!M108</f>
        <v>0337</v>
      </c>
      <c r="F49" s="637"/>
      <c r="G49" s="636"/>
      <c r="H49" s="637">
        <f>'4 сварка'!Q108</f>
        <v>4.6600000000000001E-3</v>
      </c>
      <c r="I49" s="634">
        <f>'4 сварка'!R108</f>
        <v>4.5500000000000002E-3</v>
      </c>
      <c r="J49" s="635">
        <f>'4 сварка'!Q108</f>
        <v>4.6600000000000001E-3</v>
      </c>
      <c r="K49" s="531">
        <f>'4 сварка'!R108</f>
        <v>4.5500000000000002E-3</v>
      </c>
      <c r="L49" s="637">
        <f>'4 сварка'!Q108</f>
        <v>4.6600000000000001E-3</v>
      </c>
      <c r="M49" s="636">
        <f>'4 сварка'!R108</f>
        <v>4.5500000000000002E-3</v>
      </c>
      <c r="N49" s="637">
        <f>'4 сварка'!Q108</f>
        <v>4.6600000000000001E-3</v>
      </c>
      <c r="O49" s="636">
        <f>'4 сварка'!R108</f>
        <v>4.5500000000000002E-3</v>
      </c>
    </row>
    <row r="50" spans="2:15" ht="15" customHeight="1" x14ac:dyDescent="0.25">
      <c r="B50" s="1011"/>
      <c r="C50" s="528"/>
      <c r="D50" s="633" t="str">
        <f>'4 сварка'!L109</f>
        <v>Фториды</v>
      </c>
      <c r="E50" s="638" t="str">
        <f>'4 сварка'!M109</f>
        <v>0344</v>
      </c>
      <c r="F50" s="637"/>
      <c r="G50" s="636"/>
      <c r="H50" s="637">
        <f>'4 сварка'!Q109</f>
        <v>5.8E-5</v>
      </c>
      <c r="I50" s="634">
        <f>'4 сварка'!R109</f>
        <v>6.0000000000000008E-5</v>
      </c>
      <c r="J50" s="635">
        <f>'4 сварка'!Q109</f>
        <v>5.8E-5</v>
      </c>
      <c r="K50" s="531">
        <f>'4 сварка'!R109</f>
        <v>6.0000000000000008E-5</v>
      </c>
      <c r="L50" s="637">
        <f>'4 сварка'!Q109</f>
        <v>5.8E-5</v>
      </c>
      <c r="M50" s="636">
        <f>'4 сварка'!R109</f>
        <v>6.0000000000000008E-5</v>
      </c>
      <c r="N50" s="637">
        <f>'4 сварка'!Q109</f>
        <v>5.8E-5</v>
      </c>
      <c r="O50" s="636">
        <f>'4 сварка'!R109</f>
        <v>6.0000000000000008E-5</v>
      </c>
    </row>
    <row r="51" spans="2:15" ht="15" customHeight="1" x14ac:dyDescent="0.25">
      <c r="B51" s="1011"/>
      <c r="C51" s="528"/>
      <c r="D51" s="633" t="str">
        <f>'4 сварка'!L110</f>
        <v>Пыль 70-20 % SiO2</v>
      </c>
      <c r="E51" s="638">
        <f>'4 сварка'!M110</f>
        <v>2908</v>
      </c>
      <c r="F51" s="637"/>
      <c r="G51" s="636"/>
      <c r="H51" s="637">
        <f>'4 сварка'!Q110</f>
        <v>2.5999999999999998E-5</v>
      </c>
      <c r="I51" s="634">
        <f>'4 сварка'!R110</f>
        <v>3.0000000000000004E-5</v>
      </c>
      <c r="J51" s="635">
        <f>'4 сварка'!Q110</f>
        <v>2.5999999999999998E-5</v>
      </c>
      <c r="K51" s="531">
        <f>'4 сварка'!R110</f>
        <v>3.0000000000000004E-5</v>
      </c>
      <c r="L51" s="637">
        <f>'4 сварка'!Q110</f>
        <v>2.5999999999999998E-5</v>
      </c>
      <c r="M51" s="636">
        <f>'4 сварка'!R110</f>
        <v>3.0000000000000004E-5</v>
      </c>
      <c r="N51" s="637">
        <f>'4 сварка'!Q110</f>
        <v>2.5999999999999998E-5</v>
      </c>
      <c r="O51" s="636">
        <f>'4 сварка'!R110</f>
        <v>3.0000000000000004E-5</v>
      </c>
    </row>
    <row r="52" spans="2:15" ht="15" customHeight="1" x14ac:dyDescent="0.25">
      <c r="B52" s="1011"/>
      <c r="C52" s="528"/>
      <c r="D52" s="633" t="str">
        <f>'4 сварка'!L111</f>
        <v>Фтористые газ.соед</v>
      </c>
      <c r="E52" s="638" t="str">
        <f>'4 сварка'!M111</f>
        <v>0342</v>
      </c>
      <c r="F52" s="637"/>
      <c r="G52" s="636"/>
      <c r="H52" s="637">
        <f>'4 сварка'!Q111</f>
        <v>2.5999999999999998E-4</v>
      </c>
      <c r="I52" s="634">
        <f>'4 сварка'!R111</f>
        <v>2.6000000000000003E-4</v>
      </c>
      <c r="J52" s="635">
        <f>'4 сварка'!Q111</f>
        <v>2.5999999999999998E-4</v>
      </c>
      <c r="K52" s="531">
        <f>'4 сварка'!R111</f>
        <v>2.6000000000000003E-4</v>
      </c>
      <c r="L52" s="637">
        <f>'4 сварка'!Q111</f>
        <v>2.5999999999999998E-4</v>
      </c>
      <c r="M52" s="636">
        <f>'4 сварка'!R111</f>
        <v>2.6000000000000003E-4</v>
      </c>
      <c r="N52" s="637">
        <f>'4 сварка'!Q111</f>
        <v>2.5999999999999998E-4</v>
      </c>
      <c r="O52" s="636">
        <f>'4 сварка'!R111</f>
        <v>2.6000000000000003E-4</v>
      </c>
    </row>
    <row r="53" spans="2:15" ht="15" customHeight="1" x14ac:dyDescent="0.25">
      <c r="B53" s="1011"/>
      <c r="C53" s="528"/>
      <c r="D53" s="633" t="str">
        <f>'5 станки'!H46</f>
        <v>Пыль абразивная</v>
      </c>
      <c r="E53" s="638">
        <f>'5 станки'!I46</f>
        <v>2930</v>
      </c>
      <c r="F53" s="637"/>
      <c r="G53" s="636"/>
      <c r="H53" s="637">
        <f>'5 станки'!M46</f>
        <v>5.8900000000000003E-3</v>
      </c>
      <c r="I53" s="634">
        <f>'5 станки'!N46</f>
        <v>8.2900000000000005E-3</v>
      </c>
      <c r="J53" s="635">
        <f>'5 станки'!M46</f>
        <v>5.8900000000000003E-3</v>
      </c>
      <c r="K53" s="531">
        <f>'5 станки'!N46</f>
        <v>8.2900000000000005E-3</v>
      </c>
      <c r="L53" s="637">
        <f>'5 станки'!M46</f>
        <v>5.8900000000000003E-3</v>
      </c>
      <c r="M53" s="636">
        <f>'5 станки'!N46</f>
        <v>8.2900000000000005E-3</v>
      </c>
      <c r="N53" s="637">
        <f>'5 станки'!M46</f>
        <v>5.8900000000000003E-3</v>
      </c>
      <c r="O53" s="636">
        <f>'5 станки'!N46</f>
        <v>8.2900000000000005E-3</v>
      </c>
    </row>
    <row r="54" spans="2:15" ht="15" customHeight="1" x14ac:dyDescent="0.25">
      <c r="B54" s="1011"/>
      <c r="C54" s="528"/>
      <c r="D54" s="633" t="str">
        <f>'5 станки'!H47</f>
        <v xml:space="preserve">Взвешенные частицы </v>
      </c>
      <c r="E54" s="638">
        <f>'5 станки'!I47</f>
        <v>2902</v>
      </c>
      <c r="F54" s="637"/>
      <c r="G54" s="636"/>
      <c r="H54" s="637">
        <f>'5 станки'!M47</f>
        <v>9.8700000000000003E-3</v>
      </c>
      <c r="I54" s="634">
        <f>'5 станки'!N47</f>
        <v>1.304E-2</v>
      </c>
      <c r="J54" s="635">
        <f>'5 станки'!M47</f>
        <v>9.8700000000000003E-3</v>
      </c>
      <c r="K54" s="531">
        <f>'5 станки'!N47</f>
        <v>1.304E-2</v>
      </c>
      <c r="L54" s="637">
        <f>'5 станки'!M47</f>
        <v>9.8700000000000003E-3</v>
      </c>
      <c r="M54" s="636">
        <f>'5 станки'!N47</f>
        <v>1.304E-2</v>
      </c>
      <c r="N54" s="637">
        <f>'5 станки'!M47</f>
        <v>9.8700000000000003E-3</v>
      </c>
      <c r="O54" s="636">
        <f>'5 станки'!N47</f>
        <v>1.304E-2</v>
      </c>
    </row>
    <row r="55" spans="2:15" ht="30" customHeight="1" x14ac:dyDescent="0.25">
      <c r="B55" s="1011"/>
      <c r="C55" s="528"/>
      <c r="D55" s="669" t="str">
        <f>'6 мойка деталей, обезжиривание'!G31</f>
        <v>Натрия карбонат (сода кальцинированная)</v>
      </c>
      <c r="E55" s="670" t="str">
        <f>'6 мойка деталей, обезжиривание'!H31</f>
        <v>0155</v>
      </c>
      <c r="F55" s="671"/>
      <c r="G55" s="672"/>
      <c r="H55" s="671">
        <f>'6 мойка деталей, обезжиривание'!I31</f>
        <v>2.9E-4</v>
      </c>
      <c r="I55" s="673">
        <f>'6 мойка деталей, обезжиривание'!J31</f>
        <v>6.0999999999999997E-4</v>
      </c>
      <c r="J55" s="674">
        <f>'6 мойка деталей, обезжиривание'!I31</f>
        <v>2.9E-4</v>
      </c>
      <c r="K55" s="530">
        <f>'6 мойка деталей, обезжиривание'!J31</f>
        <v>6.0999999999999997E-4</v>
      </c>
      <c r="L55" s="671">
        <f>'6 мойка деталей, обезжиривание'!I31</f>
        <v>2.9E-4</v>
      </c>
      <c r="M55" s="672">
        <f>'6 мойка деталей, обезжиривание'!J31</f>
        <v>6.0999999999999997E-4</v>
      </c>
      <c r="N55" s="671">
        <f>'6 мойка деталей, обезжиривание'!I31</f>
        <v>2.9E-4</v>
      </c>
      <c r="O55" s="672">
        <f>'6 мойка деталей, обезжиривание'!J31</f>
        <v>6.0999999999999997E-4</v>
      </c>
    </row>
    <row r="56" spans="2:15" ht="15" customHeight="1" x14ac:dyDescent="0.25">
      <c r="B56" s="1011"/>
      <c r="C56" s="528"/>
      <c r="D56" s="669" t="str">
        <f>'6 мойка деталей, обезжиривание'!G32</f>
        <v>Спирт этиловый</v>
      </c>
      <c r="E56" s="670" t="str">
        <f>'6 мойка деталей, обезжиривание'!H32</f>
        <v>1061</v>
      </c>
      <c r="F56" s="671"/>
      <c r="G56" s="672"/>
      <c r="H56" s="671">
        <f>'6 мойка деталей, обезжиривание'!I32</f>
        <v>1.1100000000000001E-3</v>
      </c>
      <c r="I56" s="673">
        <f>'6 мойка деталей, обезжиривание'!J32</f>
        <v>5.2500000000000003E-3</v>
      </c>
      <c r="J56" s="674">
        <f>'6 мойка деталей, обезжиривание'!I32</f>
        <v>1.1100000000000001E-3</v>
      </c>
      <c r="K56" s="530">
        <f>'6 мойка деталей, обезжиривание'!J32</f>
        <v>5.2500000000000003E-3</v>
      </c>
      <c r="L56" s="671">
        <f>'6 мойка деталей, обезжиривание'!I32</f>
        <v>1.1100000000000001E-3</v>
      </c>
      <c r="M56" s="672">
        <f>'6 мойка деталей, обезжиривание'!J32</f>
        <v>5.2500000000000003E-3</v>
      </c>
      <c r="N56" s="671">
        <f>'6 мойка деталей, обезжиривание'!I32</f>
        <v>1.1100000000000001E-3</v>
      </c>
      <c r="O56" s="672">
        <f>'6 мойка деталей, обезжиривание'!J32</f>
        <v>5.2500000000000003E-3</v>
      </c>
    </row>
    <row r="57" spans="2:15" ht="15" customHeight="1" x14ac:dyDescent="0.25">
      <c r="B57" s="1011"/>
      <c r="C57" s="528"/>
      <c r="D57" s="669" t="str">
        <f>'6 мойка деталей, обезжиривание'!G33</f>
        <v>Гидроксид натрия</v>
      </c>
      <c r="E57" s="670" t="str">
        <f>'6 мойка деталей, обезжиривание'!H33</f>
        <v>0150</v>
      </c>
      <c r="F57" s="671"/>
      <c r="G57" s="672"/>
      <c r="H57" s="671">
        <f>'6 мойка деталей, обезжиривание'!I33</f>
        <v>9.9000000000000008E-3</v>
      </c>
      <c r="I57" s="673">
        <f>'6 мойка деталей, обезжиривание'!J33</f>
        <v>2.1129999999999999E-2</v>
      </c>
      <c r="J57" s="674">
        <f>'6 мойка деталей, обезжиривание'!I33</f>
        <v>9.9000000000000008E-3</v>
      </c>
      <c r="K57" s="530">
        <f>'6 мойка деталей, обезжиривание'!J33</f>
        <v>2.1129999999999999E-2</v>
      </c>
      <c r="L57" s="671">
        <f>'6 мойка деталей, обезжиривание'!I33</f>
        <v>9.9000000000000008E-3</v>
      </c>
      <c r="M57" s="672">
        <f>'6 мойка деталей, обезжиривание'!J33</f>
        <v>2.1129999999999999E-2</v>
      </c>
      <c r="N57" s="671">
        <f>'6 мойка деталей, обезжиривание'!I33</f>
        <v>9.9000000000000008E-3</v>
      </c>
      <c r="O57" s="672">
        <f>'6 мойка деталей, обезжиривание'!J33</f>
        <v>2.1129999999999999E-2</v>
      </c>
    </row>
    <row r="58" spans="2:15" ht="15" customHeight="1" x14ac:dyDescent="0.25">
      <c r="B58" s="1011"/>
      <c r="C58" s="528"/>
      <c r="D58" s="633" t="str">
        <f>'7 пайка'!H26</f>
        <v>Канифоль глицериновый эфир</v>
      </c>
      <c r="E58" s="638" t="str">
        <f>'7 пайка'!I26</f>
        <v>2844</v>
      </c>
      <c r="F58" s="635"/>
      <c r="G58" s="636"/>
      <c r="H58" s="637">
        <f>'7 пайка'!K26</f>
        <v>6.0999999999999997E-4</v>
      </c>
      <c r="I58" s="634">
        <f>'7 пайка'!L26</f>
        <v>2.8900000000000002E-3</v>
      </c>
      <c r="J58" s="635">
        <f>'7 пайка'!K26</f>
        <v>6.0999999999999997E-4</v>
      </c>
      <c r="K58" s="531">
        <f>'7 пайка'!L26</f>
        <v>2.8900000000000002E-3</v>
      </c>
      <c r="L58" s="637">
        <f>'7 пайка'!K26</f>
        <v>6.0999999999999997E-4</v>
      </c>
      <c r="M58" s="636">
        <f>'7 пайка'!L26</f>
        <v>2.8900000000000002E-3</v>
      </c>
      <c r="N58" s="637">
        <f>'7 пайка'!K26</f>
        <v>6.0999999999999997E-4</v>
      </c>
      <c r="O58" s="636">
        <f>'7 пайка'!L26</f>
        <v>2.8900000000000002E-3</v>
      </c>
    </row>
    <row r="59" spans="2:15" ht="15" customHeight="1" x14ac:dyDescent="0.25">
      <c r="B59" s="1011"/>
      <c r="C59" s="528"/>
      <c r="D59" s="633" t="str">
        <f>'7 пайка'!H27</f>
        <v>Свинец и его соед.</v>
      </c>
      <c r="E59" s="638" t="str">
        <f>'7 пайка'!I27</f>
        <v>0184</v>
      </c>
      <c r="F59" s="635"/>
      <c r="G59" s="636"/>
      <c r="H59" s="637">
        <f>'7 пайка'!K27</f>
        <v>2.0000000000000001E-9</v>
      </c>
      <c r="I59" s="634">
        <f>'7 пайка'!L27</f>
        <v>1E-8</v>
      </c>
      <c r="J59" s="635">
        <f>'7 пайка'!K27</f>
        <v>2.0000000000000001E-9</v>
      </c>
      <c r="K59" s="531">
        <f>'7 пайка'!L27</f>
        <v>1E-8</v>
      </c>
      <c r="L59" s="637">
        <f>'7 пайка'!K27</f>
        <v>2.0000000000000001E-9</v>
      </c>
      <c r="M59" s="636">
        <f>'7 пайка'!L27</f>
        <v>1E-8</v>
      </c>
      <c r="N59" s="637">
        <f>'7 пайка'!K27</f>
        <v>2.0000000000000001E-9</v>
      </c>
      <c r="O59" s="636">
        <f>'7 пайка'!L27</f>
        <v>1E-8</v>
      </c>
    </row>
    <row r="60" spans="2:15" ht="15" customHeight="1" x14ac:dyDescent="0.25">
      <c r="B60" s="1013"/>
      <c r="C60" s="529"/>
      <c r="D60" s="640" t="str">
        <f>'7 пайка'!H28</f>
        <v>Олова оксид</v>
      </c>
      <c r="E60" s="645" t="str">
        <f>'7 пайка'!I28</f>
        <v>0168</v>
      </c>
      <c r="F60" s="642"/>
      <c r="G60" s="643"/>
      <c r="H60" s="644">
        <f>'7 пайка'!K28</f>
        <v>2.0000000000000001E-9</v>
      </c>
      <c r="I60" s="641">
        <f>'7 пайка'!L28</f>
        <v>1E-8</v>
      </c>
      <c r="J60" s="642">
        <f>'7 пайка'!K28</f>
        <v>2.0000000000000001E-9</v>
      </c>
      <c r="K60" s="661">
        <f>'7 пайка'!L28</f>
        <v>1E-8</v>
      </c>
      <c r="L60" s="644">
        <f>'7 пайка'!K28</f>
        <v>2.0000000000000001E-9</v>
      </c>
      <c r="M60" s="643">
        <f>'7 пайка'!L28</f>
        <v>1E-8</v>
      </c>
      <c r="N60" s="644">
        <f>'7 пайка'!K28</f>
        <v>2.0000000000000001E-9</v>
      </c>
      <c r="O60" s="643">
        <f>'7 пайка'!L28</f>
        <v>1E-8</v>
      </c>
    </row>
    <row r="61" spans="2:15" s="530" customFormat="1" ht="72.75" customHeight="1" x14ac:dyDescent="0.25">
      <c r="B61" s="524" t="s">
        <v>255</v>
      </c>
      <c r="C61" s="525" t="s">
        <v>281</v>
      </c>
      <c r="D61" s="669" t="str">
        <f>'6 мойка деталей, обезжиривание'!G35</f>
        <v>Гидроксид натрия</v>
      </c>
      <c r="E61" s="670" t="str">
        <f>'6 мойка деталей, обезжиривание'!H35</f>
        <v>0150</v>
      </c>
      <c r="F61" s="671"/>
      <c r="G61" s="672"/>
      <c r="H61" s="671">
        <f>'6 мойка деталей, обезжиривание'!I35</f>
        <v>2.3099999999999999E-2</v>
      </c>
      <c r="I61" s="673">
        <f>'6 мойка деталей, обезжиривание'!J35</f>
        <v>4.931E-2</v>
      </c>
      <c r="J61" s="674">
        <f>'6 мойка деталей, обезжиривание'!I35</f>
        <v>2.3099999999999999E-2</v>
      </c>
      <c r="K61" s="530">
        <f>'6 мойка деталей, обезжиривание'!J35</f>
        <v>4.931E-2</v>
      </c>
      <c r="L61" s="671">
        <f>'6 мойка деталей, обезжиривание'!I35</f>
        <v>2.3099999999999999E-2</v>
      </c>
      <c r="M61" s="672">
        <f>'6 мойка деталей, обезжиривание'!J35</f>
        <v>4.931E-2</v>
      </c>
      <c r="N61" s="671">
        <f>'6 мойка деталей, обезжиривание'!I35</f>
        <v>2.3099999999999999E-2</v>
      </c>
      <c r="O61" s="672">
        <f>'6 мойка деталей, обезжиривание'!J35</f>
        <v>4.931E-2</v>
      </c>
    </row>
    <row r="62" spans="2:15" s="530" customFormat="1" ht="79.5" customHeight="1" x14ac:dyDescent="0.25">
      <c r="B62" s="524" t="s">
        <v>256</v>
      </c>
      <c r="C62" s="525" t="s">
        <v>285</v>
      </c>
      <c r="D62" s="662" t="str">
        <f>'6 мойка деталей, обезжиривание'!G37</f>
        <v>Натрия карбонат (сода кальцинированная)</v>
      </c>
      <c r="E62" s="663" t="str">
        <f>'6 мойка деталей, обезжиривание'!H37</f>
        <v>0155</v>
      </c>
      <c r="F62" s="664"/>
      <c r="G62" s="665"/>
      <c r="H62" s="664">
        <f>'6 мойка деталей, обезжиривание'!I37</f>
        <v>6.7000000000000002E-4</v>
      </c>
      <c r="I62" s="666">
        <f>'6 мойка деталей, обезжиривание'!J37</f>
        <v>1.4300000000000001E-3</v>
      </c>
      <c r="J62" s="667">
        <f>'6 мойка деталей, обезжиривание'!I37</f>
        <v>6.7000000000000002E-4</v>
      </c>
      <c r="K62" s="668">
        <f>'6 мойка деталей, обезжиривание'!J37</f>
        <v>1.4300000000000001E-3</v>
      </c>
      <c r="L62" s="664">
        <f>'6 мойка деталей, обезжиривание'!I37</f>
        <v>6.7000000000000002E-4</v>
      </c>
      <c r="M62" s="665">
        <f>'6 мойка деталей, обезжиривание'!J37</f>
        <v>1.4300000000000001E-3</v>
      </c>
      <c r="N62" s="664">
        <f>'6 мойка деталей, обезжиривание'!I37</f>
        <v>6.7000000000000002E-4</v>
      </c>
      <c r="O62" s="665">
        <f>'6 мойка деталей, обезжиривание'!J37</f>
        <v>1.4300000000000001E-3</v>
      </c>
    </row>
    <row r="63" spans="2:15" ht="15" customHeight="1" x14ac:dyDescent="0.25">
      <c r="B63" s="1010" t="s">
        <v>1169</v>
      </c>
      <c r="C63" s="525" t="s">
        <v>286</v>
      </c>
      <c r="D63" s="633" t="str">
        <f>'4 сварка'!L127</f>
        <v>Железа оксид</v>
      </c>
      <c r="E63" s="638" t="str">
        <f>'4 сварка'!M127</f>
        <v>0123</v>
      </c>
      <c r="F63" s="637"/>
      <c r="G63" s="636"/>
      <c r="H63" s="637">
        <f>'4 сварка'!Q127</f>
        <v>1.34E-4</v>
      </c>
      <c r="I63" s="634">
        <f>'4 сварка'!R127</f>
        <v>6.3000000000000003E-4</v>
      </c>
      <c r="J63" s="635">
        <f>'4 сварка'!Q127</f>
        <v>1.34E-4</v>
      </c>
      <c r="K63" s="531">
        <f>'4 сварка'!R127</f>
        <v>6.3000000000000003E-4</v>
      </c>
      <c r="L63" s="637">
        <f>'4 сварка'!Q127</f>
        <v>1.34E-4</v>
      </c>
      <c r="M63" s="636">
        <f>'4 сварка'!R127</f>
        <v>6.3000000000000003E-4</v>
      </c>
      <c r="N63" s="637">
        <f>'4 сварка'!Q127</f>
        <v>1.34E-4</v>
      </c>
      <c r="O63" s="636">
        <f>'4 сварка'!R127</f>
        <v>6.3000000000000003E-4</v>
      </c>
    </row>
    <row r="64" spans="2:15" ht="15" customHeight="1" x14ac:dyDescent="0.25">
      <c r="B64" s="1011"/>
      <c r="C64" s="528"/>
      <c r="D64" s="633" t="str">
        <f>'4 сварка'!L128</f>
        <v>Марганец и его соед.</v>
      </c>
      <c r="E64" s="638" t="str">
        <f>'4 сварка'!M128</f>
        <v>0143</v>
      </c>
      <c r="F64" s="637"/>
      <c r="G64" s="636"/>
      <c r="H64" s="637">
        <f>'4 сварка'!Q128</f>
        <v>6.4999999999999994E-5</v>
      </c>
      <c r="I64" s="634">
        <f>'4 сварка'!R128</f>
        <v>3.1100000000000002E-4</v>
      </c>
      <c r="J64" s="635">
        <f>'4 сварка'!Q128</f>
        <v>6.4999999999999994E-5</v>
      </c>
      <c r="K64" s="531">
        <f>'4 сварка'!R128</f>
        <v>3.1100000000000002E-4</v>
      </c>
      <c r="L64" s="637">
        <f>'4 сварка'!Q128</f>
        <v>6.4999999999999994E-5</v>
      </c>
      <c r="M64" s="636">
        <f>'4 сварка'!R128</f>
        <v>3.1100000000000002E-4</v>
      </c>
      <c r="N64" s="637">
        <f>'4 сварка'!Q128</f>
        <v>6.4999999999999994E-5</v>
      </c>
      <c r="O64" s="636">
        <f>'4 сварка'!R128</f>
        <v>3.1100000000000002E-4</v>
      </c>
    </row>
    <row r="65" spans="2:15" ht="15" customHeight="1" x14ac:dyDescent="0.25">
      <c r="B65" s="1011"/>
      <c r="C65" s="528"/>
      <c r="D65" s="633" t="str">
        <f>'4 сварка'!L129</f>
        <v>Хром (VI) оксид</v>
      </c>
      <c r="E65" s="638" t="str">
        <f>'4 сварка'!M129</f>
        <v>0203</v>
      </c>
      <c r="F65" s="637"/>
      <c r="G65" s="636"/>
      <c r="H65" s="637">
        <f>'4 сварка'!Q129</f>
        <v>1.2999999999999999E-5</v>
      </c>
      <c r="I65" s="634">
        <f>'4 сварка'!R129</f>
        <v>5.2000000000000004E-5</v>
      </c>
      <c r="J65" s="635">
        <f>'4 сварка'!Q129</f>
        <v>1.2999999999999999E-5</v>
      </c>
      <c r="K65" s="531">
        <f>'4 сварка'!R129</f>
        <v>5.2000000000000004E-5</v>
      </c>
      <c r="L65" s="637">
        <f>'4 сварка'!Q129</f>
        <v>1.2999999999999999E-5</v>
      </c>
      <c r="M65" s="636">
        <f>'4 сварка'!R129</f>
        <v>5.2000000000000004E-5</v>
      </c>
      <c r="N65" s="637">
        <f>'4 сварка'!Q129</f>
        <v>1.2999999999999999E-5</v>
      </c>
      <c r="O65" s="636">
        <f>'4 сварка'!R129</f>
        <v>5.2000000000000004E-5</v>
      </c>
    </row>
    <row r="66" spans="2:15" ht="15" customHeight="1" x14ac:dyDescent="0.25">
      <c r="B66" s="1011"/>
      <c r="C66" s="528"/>
      <c r="D66" s="633" t="str">
        <f>'4 сварка'!L130</f>
        <v>Фтористые газ.соед</v>
      </c>
      <c r="E66" s="638" t="str">
        <f>'4 сварка'!M130</f>
        <v>0342</v>
      </c>
      <c r="F66" s="637"/>
      <c r="G66" s="636"/>
      <c r="H66" s="637">
        <f>'4 сварка'!Q130</f>
        <v>2.2000000000000001E-4</v>
      </c>
      <c r="I66" s="634">
        <f>'4 сварка'!R130</f>
        <v>9.2000000000000003E-4</v>
      </c>
      <c r="J66" s="635">
        <f>'4 сварка'!Q130</f>
        <v>2.2000000000000001E-4</v>
      </c>
      <c r="K66" s="531">
        <f>'4 сварка'!R130</f>
        <v>9.2000000000000003E-4</v>
      </c>
      <c r="L66" s="637">
        <f>'4 сварка'!Q130</f>
        <v>2.2000000000000001E-4</v>
      </c>
      <c r="M66" s="636">
        <f>'4 сварка'!R130</f>
        <v>9.2000000000000003E-4</v>
      </c>
      <c r="N66" s="637">
        <f>'4 сварка'!Q130</f>
        <v>2.2000000000000001E-4</v>
      </c>
      <c r="O66" s="636">
        <f>'4 сварка'!R130</f>
        <v>9.2000000000000003E-4</v>
      </c>
    </row>
    <row r="67" spans="2:15" ht="15" customHeight="1" x14ac:dyDescent="0.25">
      <c r="B67" s="1011"/>
      <c r="C67" s="528"/>
      <c r="D67" s="633" t="str">
        <f>'4 сварка'!L131</f>
        <v>Никель оксид</v>
      </c>
      <c r="E67" s="638" t="str">
        <f>'4 сварка'!M131</f>
        <v>0164</v>
      </c>
      <c r="F67" s="637"/>
      <c r="G67" s="636"/>
      <c r="H67" s="637">
        <f>'4 сварка'!Q131</f>
        <v>3.0000000000000001E-6</v>
      </c>
      <c r="I67" s="634">
        <f>'4 сварка'!R131</f>
        <v>1.1E-5</v>
      </c>
      <c r="J67" s="635">
        <f>'4 сварка'!Q131</f>
        <v>3.0000000000000001E-6</v>
      </c>
      <c r="K67" s="531">
        <f>'4 сварка'!R131</f>
        <v>1.1E-5</v>
      </c>
      <c r="L67" s="637">
        <f>'4 сварка'!Q131</f>
        <v>3.0000000000000001E-6</v>
      </c>
      <c r="M67" s="636">
        <f>'4 сварка'!R131</f>
        <v>1.1E-5</v>
      </c>
      <c r="N67" s="637">
        <f>'4 сварка'!Q131</f>
        <v>3.0000000000000001E-6</v>
      </c>
      <c r="O67" s="636">
        <f>'4 сварка'!R131</f>
        <v>1.1E-5</v>
      </c>
    </row>
    <row r="68" spans="2:15" ht="15" customHeight="1" x14ac:dyDescent="0.25">
      <c r="B68" s="1011"/>
      <c r="C68" s="528"/>
      <c r="D68" s="633" t="str">
        <f>'4 сварка'!L132</f>
        <v>Титан диоксид</v>
      </c>
      <c r="E68" s="638" t="str">
        <f>'4 сварка'!M132</f>
        <v>0118</v>
      </c>
      <c r="F68" s="637"/>
      <c r="G68" s="636"/>
      <c r="H68" s="637">
        <f>'4 сварка'!Q132</f>
        <v>1.024E-3</v>
      </c>
      <c r="I68" s="634">
        <f>'4 сварка'!R132</f>
        <v>1.8470000000000001E-3</v>
      </c>
      <c r="J68" s="635">
        <f>'4 сварка'!Q132</f>
        <v>1.024E-3</v>
      </c>
      <c r="K68" s="531">
        <f>'4 сварка'!R132</f>
        <v>1.8470000000000001E-3</v>
      </c>
      <c r="L68" s="637">
        <f>'4 сварка'!Q132</f>
        <v>1.024E-3</v>
      </c>
      <c r="M68" s="636">
        <f>'4 сварка'!R132</f>
        <v>1.8470000000000001E-3</v>
      </c>
      <c r="N68" s="637">
        <f>'4 сварка'!Q132</f>
        <v>1.024E-3</v>
      </c>
      <c r="O68" s="636">
        <f>'4 сварка'!R132</f>
        <v>1.8470000000000001E-3</v>
      </c>
    </row>
    <row r="69" spans="2:15" ht="15" customHeight="1" x14ac:dyDescent="0.25">
      <c r="B69" s="1011"/>
      <c r="C69" s="528"/>
      <c r="D69" s="633" t="str">
        <f>'4 сварка'!L133</f>
        <v>Углерод оксид</v>
      </c>
      <c r="E69" s="638" t="str">
        <f>'4 сварка'!M133</f>
        <v>0337</v>
      </c>
      <c r="F69" s="637"/>
      <c r="G69" s="636"/>
      <c r="H69" s="637">
        <f>'4 сварка'!Q133</f>
        <v>1.6900000000000001E-3</v>
      </c>
      <c r="I69" s="634">
        <f>'4 сварка'!R133</f>
        <v>1.89E-3</v>
      </c>
      <c r="J69" s="635">
        <f>'4 сварка'!Q133</f>
        <v>1.6900000000000001E-3</v>
      </c>
      <c r="K69" s="531">
        <f>'4 сварка'!R133</f>
        <v>1.89E-3</v>
      </c>
      <c r="L69" s="637">
        <f>'4 сварка'!Q133</f>
        <v>1.6900000000000001E-3</v>
      </c>
      <c r="M69" s="636">
        <f>'4 сварка'!R133</f>
        <v>1.89E-3</v>
      </c>
      <c r="N69" s="637">
        <f>'4 сварка'!Q133</f>
        <v>1.6900000000000001E-3</v>
      </c>
      <c r="O69" s="636">
        <f>'4 сварка'!R133</f>
        <v>1.89E-3</v>
      </c>
    </row>
    <row r="70" spans="2:15" ht="15" customHeight="1" x14ac:dyDescent="0.25">
      <c r="B70" s="1011"/>
      <c r="C70" s="528"/>
      <c r="D70" s="633" t="str">
        <f>'4 сварка'!L134</f>
        <v>Азота диоксид</v>
      </c>
      <c r="E70" s="638" t="str">
        <f>'4 сварка'!M134</f>
        <v>0301</v>
      </c>
      <c r="F70" s="637"/>
      <c r="G70" s="636"/>
      <c r="H70" s="637">
        <f>'4 сварка'!Q134</f>
        <v>6.8000000000000005E-4</v>
      </c>
      <c r="I70" s="634">
        <f>'4 сварка'!R134</f>
        <v>7.5000000000000002E-4</v>
      </c>
      <c r="J70" s="635">
        <f>'4 сварка'!Q134</f>
        <v>6.8000000000000005E-4</v>
      </c>
      <c r="K70" s="531">
        <f>'4 сварка'!R134</f>
        <v>7.5000000000000002E-4</v>
      </c>
      <c r="L70" s="637">
        <f>'4 сварка'!Q134</f>
        <v>6.8000000000000005E-4</v>
      </c>
      <c r="M70" s="636">
        <f>'4 сварка'!R134</f>
        <v>7.5000000000000002E-4</v>
      </c>
      <c r="N70" s="637">
        <f>'4 сварка'!Q134</f>
        <v>6.8000000000000005E-4</v>
      </c>
      <c r="O70" s="636">
        <f>'4 сварка'!R134</f>
        <v>7.5000000000000002E-4</v>
      </c>
    </row>
    <row r="71" spans="2:15" ht="15" customHeight="1" x14ac:dyDescent="0.25">
      <c r="B71" s="1011"/>
      <c r="C71" s="528"/>
      <c r="D71" s="633" t="str">
        <f>'5 станки'!H53</f>
        <v>Пыль абразивная</v>
      </c>
      <c r="E71" s="638">
        <f>'5 станки'!I53</f>
        <v>2930</v>
      </c>
      <c r="F71" s="637"/>
      <c r="G71" s="636"/>
      <c r="H71" s="637">
        <f>'5 станки'!M53</f>
        <v>2.1999999999999997E-3</v>
      </c>
      <c r="I71" s="634">
        <f>'5 станки'!N53</f>
        <v>1.7000000000000001E-3</v>
      </c>
      <c r="J71" s="635">
        <f>'5 станки'!M53</f>
        <v>2.1999999999999997E-3</v>
      </c>
      <c r="K71" s="531">
        <f>'5 станки'!N53</f>
        <v>1.7000000000000001E-3</v>
      </c>
      <c r="L71" s="637">
        <f>'5 станки'!M53</f>
        <v>2.1999999999999997E-3</v>
      </c>
      <c r="M71" s="636">
        <f>'5 станки'!N53</f>
        <v>1.7000000000000001E-3</v>
      </c>
      <c r="N71" s="637">
        <f>'5 станки'!M53</f>
        <v>2.1999999999999997E-3</v>
      </c>
      <c r="O71" s="636">
        <f>'5 станки'!N53</f>
        <v>1.7000000000000001E-3</v>
      </c>
    </row>
    <row r="72" spans="2:15" ht="15" customHeight="1" x14ac:dyDescent="0.25">
      <c r="B72" s="1011"/>
      <c r="C72" s="528"/>
      <c r="D72" s="633" t="str">
        <f>'5 станки'!H54</f>
        <v xml:space="preserve">Взвешенные частицы </v>
      </c>
      <c r="E72" s="638">
        <f>'5 станки'!I54</f>
        <v>2902</v>
      </c>
      <c r="F72" s="637"/>
      <c r="G72" s="636"/>
      <c r="H72" s="637">
        <f>'5 станки'!M54</f>
        <v>4.5500000000000002E-3</v>
      </c>
      <c r="I72" s="634">
        <f>'5 станки'!N54</f>
        <v>3.4499999999999999E-3</v>
      </c>
      <c r="J72" s="635">
        <f>'5 станки'!M54</f>
        <v>4.5500000000000002E-3</v>
      </c>
      <c r="K72" s="531">
        <f>'5 станки'!N54</f>
        <v>3.4499999999999999E-3</v>
      </c>
      <c r="L72" s="637">
        <f>'5 станки'!M54</f>
        <v>4.5500000000000002E-3</v>
      </c>
      <c r="M72" s="636">
        <f>'5 станки'!N54</f>
        <v>3.4499999999999999E-3</v>
      </c>
      <c r="N72" s="637">
        <f>'5 станки'!M54</f>
        <v>4.5500000000000002E-3</v>
      </c>
      <c r="O72" s="636">
        <f>'5 станки'!N54</f>
        <v>3.4499999999999999E-3</v>
      </c>
    </row>
    <row r="73" spans="2:15" ht="48" customHeight="1" x14ac:dyDescent="0.25">
      <c r="B73" s="1011"/>
      <c r="C73" s="528"/>
      <c r="D73" s="669" t="str">
        <f>'6 мойка деталей, обезжиривание'!G39</f>
        <v>Натрия карбонат (сода кальцинированная)</v>
      </c>
      <c r="E73" s="670" t="str">
        <f>'6 мойка деталей, обезжиривание'!H39</f>
        <v>0155</v>
      </c>
      <c r="F73" s="671"/>
      <c r="G73" s="672"/>
      <c r="H73" s="671">
        <f>'6 мойка деталей, обезжиривание'!I39</f>
        <v>7.2000000000000005E-4</v>
      </c>
      <c r="I73" s="673">
        <f>'6 мойка деталей, обезжиривание'!J39</f>
        <v>7.2999999999999996E-4</v>
      </c>
      <c r="J73" s="674">
        <f>'6 мойка деталей, обезжиривание'!I39</f>
        <v>7.2000000000000005E-4</v>
      </c>
      <c r="K73" s="530">
        <f>'6 мойка деталей, обезжиривание'!J39</f>
        <v>7.2999999999999996E-4</v>
      </c>
      <c r="L73" s="671">
        <f>'6 мойка деталей, обезжиривание'!I39</f>
        <v>7.2000000000000005E-4</v>
      </c>
      <c r="M73" s="672">
        <f>'6 мойка деталей, обезжиривание'!J39</f>
        <v>7.2999999999999996E-4</v>
      </c>
      <c r="N73" s="671">
        <f>'6 мойка деталей, обезжиривание'!I39</f>
        <v>7.2000000000000005E-4</v>
      </c>
      <c r="O73" s="672">
        <f>'6 мойка деталей, обезжиривание'!J39</f>
        <v>7.2999999999999996E-4</v>
      </c>
    </row>
    <row r="74" spans="2:15" s="530" customFormat="1" ht="69.95" customHeight="1" x14ac:dyDescent="0.25">
      <c r="B74" s="532" t="s">
        <v>1245</v>
      </c>
      <c r="C74" s="533" t="s">
        <v>290</v>
      </c>
      <c r="D74" s="662" t="str">
        <f>'6 мойка деталей, обезжиривание'!G41</f>
        <v>Натрия карбонат (сода кальцинированная)</v>
      </c>
      <c r="E74" s="663" t="str">
        <f>'6 мойка деталей, обезжиривание'!H41</f>
        <v>0155</v>
      </c>
      <c r="F74" s="664"/>
      <c r="G74" s="665"/>
      <c r="H74" s="664">
        <f>'6 мойка деталей, обезжиривание'!I41</f>
        <v>1.6800000000000001E-3</v>
      </c>
      <c r="I74" s="666">
        <f>'6 мойка деталей, обезжиривание'!J41</f>
        <v>1.6900000000000001E-3</v>
      </c>
      <c r="J74" s="667">
        <f>'6 мойка деталей, обезжиривание'!I41</f>
        <v>1.6800000000000001E-3</v>
      </c>
      <c r="K74" s="668">
        <f>'6 мойка деталей, обезжиривание'!J41</f>
        <v>1.6900000000000001E-3</v>
      </c>
      <c r="L74" s="664">
        <f>'6 мойка деталей, обезжиривание'!I41</f>
        <v>1.6800000000000001E-3</v>
      </c>
      <c r="M74" s="665">
        <f>'6 мойка деталей, обезжиривание'!J41</f>
        <v>1.6900000000000001E-3</v>
      </c>
      <c r="N74" s="664">
        <f>'6 мойка деталей, обезжиривание'!I41</f>
        <v>1.6800000000000001E-3</v>
      </c>
      <c r="O74" s="665">
        <f>'6 мойка деталей, обезжиривание'!J41</f>
        <v>1.6900000000000001E-3</v>
      </c>
    </row>
    <row r="75" spans="2:15" ht="15" customHeight="1" x14ac:dyDescent="0.25">
      <c r="B75" s="1011" t="s">
        <v>1170</v>
      </c>
      <c r="C75" s="528" t="s">
        <v>291</v>
      </c>
      <c r="D75" s="633" t="str">
        <f>'4 сварка'!L136</f>
        <v>Железа оксид</v>
      </c>
      <c r="E75" s="638" t="str">
        <f>'4 сварка'!M136</f>
        <v>0123</v>
      </c>
      <c r="F75" s="637"/>
      <c r="G75" s="636"/>
      <c r="H75" s="637">
        <f>'4 сварка'!Q136</f>
        <v>9.3999999999999994E-5</v>
      </c>
      <c r="I75" s="634">
        <f>'4 сварка'!R136</f>
        <v>5.0000000000000002E-5</v>
      </c>
      <c r="J75" s="635">
        <f>'4 сварка'!Q136</f>
        <v>9.3999999999999994E-5</v>
      </c>
      <c r="K75" s="531">
        <f>'4 сварка'!R136</f>
        <v>5.0000000000000002E-5</v>
      </c>
      <c r="L75" s="637">
        <f>'4 сварка'!Q136</f>
        <v>9.3999999999999994E-5</v>
      </c>
      <c r="M75" s="636">
        <f>'4 сварка'!R136</f>
        <v>5.0000000000000002E-5</v>
      </c>
      <c r="N75" s="637">
        <f>'4 сварка'!Q136</f>
        <v>9.3999999999999994E-5</v>
      </c>
      <c r="O75" s="636">
        <f>'4 сварка'!R136</f>
        <v>5.0000000000000002E-5</v>
      </c>
    </row>
    <row r="76" spans="2:15" ht="15" customHeight="1" x14ac:dyDescent="0.25">
      <c r="B76" s="1011"/>
      <c r="C76" s="528"/>
      <c r="D76" s="633" t="str">
        <f>'4 сварка'!L137</f>
        <v>Марганец и его соед.</v>
      </c>
      <c r="E76" s="638" t="str">
        <f>'4 сварка'!M137</f>
        <v>0143</v>
      </c>
      <c r="F76" s="637"/>
      <c r="G76" s="636"/>
      <c r="H76" s="637">
        <f>'4 сварка'!Q137</f>
        <v>1.0000000000000001E-5</v>
      </c>
      <c r="I76" s="634">
        <f>'4 сварка'!R137</f>
        <v>5.0000000000000004E-6</v>
      </c>
      <c r="J76" s="635">
        <f>'4 сварка'!Q137</f>
        <v>1.0000000000000001E-5</v>
      </c>
      <c r="K76" s="531">
        <f>'4 сварка'!R137</f>
        <v>5.0000000000000004E-6</v>
      </c>
      <c r="L76" s="637">
        <f>'4 сварка'!Q137</f>
        <v>1.0000000000000001E-5</v>
      </c>
      <c r="M76" s="636">
        <f>'4 сварка'!R137</f>
        <v>5.0000000000000004E-6</v>
      </c>
      <c r="N76" s="637">
        <f>'4 сварка'!Q137</f>
        <v>1.0000000000000001E-5</v>
      </c>
      <c r="O76" s="636">
        <f>'4 сварка'!R137</f>
        <v>5.0000000000000004E-6</v>
      </c>
    </row>
    <row r="77" spans="2:15" ht="15" customHeight="1" x14ac:dyDescent="0.25">
      <c r="B77" s="1011"/>
      <c r="C77" s="528"/>
      <c r="D77" s="633" t="str">
        <f>'4 сварка'!L138</f>
        <v>Пыль 70-20 % SiO2</v>
      </c>
      <c r="E77" s="638" t="str">
        <f>'4 сварка'!M138</f>
        <v>2908</v>
      </c>
      <c r="F77" s="637"/>
      <c r="G77" s="636"/>
      <c r="H77" s="637">
        <f>'4 сварка'!Q138</f>
        <v>1.2999999999999999E-5</v>
      </c>
      <c r="I77" s="634">
        <f>'4 сварка'!R138</f>
        <v>1.0000000000000001E-5</v>
      </c>
      <c r="J77" s="635">
        <f>'4 сварка'!Q138</f>
        <v>1.2999999999999999E-5</v>
      </c>
      <c r="K77" s="531">
        <f>'4 сварка'!R138</f>
        <v>1.0000000000000001E-5</v>
      </c>
      <c r="L77" s="637">
        <f>'4 сварка'!Q138</f>
        <v>1.2999999999999999E-5</v>
      </c>
      <c r="M77" s="636">
        <f>'4 сварка'!R138</f>
        <v>1.0000000000000001E-5</v>
      </c>
      <c r="N77" s="637">
        <f>'4 сварка'!Q138</f>
        <v>1.2999999999999999E-5</v>
      </c>
      <c r="O77" s="636">
        <f>'4 сварка'!R138</f>
        <v>1.0000000000000001E-5</v>
      </c>
    </row>
    <row r="78" spans="2:15" ht="15" customHeight="1" x14ac:dyDescent="0.25">
      <c r="B78" s="1011"/>
      <c r="C78" s="528"/>
      <c r="D78" s="633" t="str">
        <f>'4 сварка'!L139</f>
        <v>Фториды</v>
      </c>
      <c r="E78" s="638" t="str">
        <f>'4 сварка'!M139</f>
        <v>0344</v>
      </c>
      <c r="F78" s="637"/>
      <c r="G78" s="636"/>
      <c r="H78" s="637">
        <f>'4 сварка'!Q139</f>
        <v>2.9E-5</v>
      </c>
      <c r="I78" s="634">
        <f>'4 сварка'!R139</f>
        <v>2.0000000000000002E-5</v>
      </c>
      <c r="J78" s="635">
        <f>'4 сварка'!Q139</f>
        <v>2.9E-5</v>
      </c>
      <c r="K78" s="531">
        <f>'4 сварка'!R139</f>
        <v>2.0000000000000002E-5</v>
      </c>
      <c r="L78" s="637">
        <f>'4 сварка'!Q139</f>
        <v>2.9E-5</v>
      </c>
      <c r="M78" s="636">
        <f>'4 сварка'!R139</f>
        <v>2.0000000000000002E-5</v>
      </c>
      <c r="N78" s="637">
        <f>'4 сварка'!Q139</f>
        <v>2.9E-5</v>
      </c>
      <c r="O78" s="636">
        <f>'4 сварка'!R139</f>
        <v>2.0000000000000002E-5</v>
      </c>
    </row>
    <row r="79" spans="2:15" ht="15" customHeight="1" x14ac:dyDescent="0.25">
      <c r="B79" s="1011"/>
      <c r="C79" s="528"/>
      <c r="D79" s="633" t="str">
        <f>'4 сварка'!L140</f>
        <v>Фтористые газ.соед</v>
      </c>
      <c r="E79" s="638" t="str">
        <f>'4 сварка'!M140</f>
        <v>0342</v>
      </c>
      <c r="F79" s="637"/>
      <c r="G79" s="636"/>
      <c r="H79" s="637">
        <f>'4 сварка'!Q140</f>
        <v>1.2999999999999999E-4</v>
      </c>
      <c r="I79" s="634">
        <f>'4 сварка'!R140</f>
        <v>6.9999999999999994E-5</v>
      </c>
      <c r="J79" s="635">
        <f>'4 сварка'!Q140</f>
        <v>1.2999999999999999E-4</v>
      </c>
      <c r="K79" s="531">
        <f>'4 сварка'!R140</f>
        <v>6.9999999999999994E-5</v>
      </c>
      <c r="L79" s="637">
        <f>'4 сварка'!Q140</f>
        <v>1.2999999999999999E-4</v>
      </c>
      <c r="M79" s="636">
        <f>'4 сварка'!R140</f>
        <v>6.9999999999999994E-5</v>
      </c>
      <c r="N79" s="637">
        <f>'4 сварка'!Q140</f>
        <v>1.2999999999999999E-4</v>
      </c>
      <c r="O79" s="636">
        <f>'4 сварка'!R140</f>
        <v>6.9999999999999994E-5</v>
      </c>
    </row>
    <row r="80" spans="2:15" ht="15" customHeight="1" x14ac:dyDescent="0.25">
      <c r="B80" s="1011"/>
      <c r="C80" s="528"/>
      <c r="D80" s="633" t="str">
        <f>'4 сварка'!L141</f>
        <v>Азота диоксид</v>
      </c>
      <c r="E80" s="638" t="str">
        <f>'4 сварка'!M141</f>
        <v>0301</v>
      </c>
      <c r="F80" s="637"/>
      <c r="G80" s="636"/>
      <c r="H80" s="637">
        <f>'4 сварка'!Q141</f>
        <v>2.5999999999999998E-4</v>
      </c>
      <c r="I80" s="634">
        <f>'4 сварка'!R141</f>
        <v>1.4999999999999999E-4</v>
      </c>
      <c r="J80" s="635">
        <f>'4 сварка'!Q141</f>
        <v>2.5999999999999998E-4</v>
      </c>
      <c r="K80" s="531">
        <f>'4 сварка'!R141</f>
        <v>1.4999999999999999E-4</v>
      </c>
      <c r="L80" s="637">
        <f>'4 сварка'!Q141</f>
        <v>2.5999999999999998E-4</v>
      </c>
      <c r="M80" s="636">
        <f>'4 сварка'!R141</f>
        <v>1.4999999999999999E-4</v>
      </c>
      <c r="N80" s="637">
        <f>'4 сварка'!Q141</f>
        <v>2.5999999999999998E-4</v>
      </c>
      <c r="O80" s="636">
        <f>'4 сварка'!R141</f>
        <v>1.4999999999999999E-4</v>
      </c>
    </row>
    <row r="81" spans="2:15" ht="15" customHeight="1" x14ac:dyDescent="0.25">
      <c r="B81" s="1011"/>
      <c r="C81" s="528"/>
      <c r="D81" s="633" t="str">
        <f>'4 сварка'!L142</f>
        <v>Углерод оксид</v>
      </c>
      <c r="E81" s="638" t="str">
        <f>'4 сварка'!M142</f>
        <v>0337</v>
      </c>
      <c r="F81" s="637"/>
      <c r="G81" s="636"/>
      <c r="H81" s="637">
        <f>'4 сварка'!Q142</f>
        <v>2.33E-3</v>
      </c>
      <c r="I81" s="634">
        <f>'4 сварка'!R142</f>
        <v>1.2999999999999999E-3</v>
      </c>
      <c r="J81" s="635">
        <f>'4 сварка'!Q142</f>
        <v>2.33E-3</v>
      </c>
      <c r="K81" s="531">
        <f>'4 сварка'!R142</f>
        <v>1.2999999999999999E-3</v>
      </c>
      <c r="L81" s="637">
        <f>'4 сварка'!Q142</f>
        <v>2.33E-3</v>
      </c>
      <c r="M81" s="636">
        <f>'4 сварка'!R142</f>
        <v>1.2999999999999999E-3</v>
      </c>
      <c r="N81" s="637">
        <f>'4 сварка'!Q142</f>
        <v>2.33E-3</v>
      </c>
      <c r="O81" s="636">
        <f>'4 сварка'!R142</f>
        <v>1.2999999999999999E-3</v>
      </c>
    </row>
    <row r="82" spans="2:15" ht="15" customHeight="1" x14ac:dyDescent="0.25">
      <c r="B82" s="1011"/>
      <c r="C82" s="528"/>
      <c r="D82" s="633" t="str">
        <f>'5 станки'!H60</f>
        <v>Пыль абразивная</v>
      </c>
      <c r="E82" s="638">
        <f>'5 станки'!I60</f>
        <v>2930</v>
      </c>
      <c r="F82" s="637"/>
      <c r="G82" s="636"/>
      <c r="H82" s="637">
        <f>'5 станки'!M60</f>
        <v>2.1999999999999997E-3</v>
      </c>
      <c r="I82" s="634">
        <f>'5 станки'!N60</f>
        <v>3.3999999999999998E-3</v>
      </c>
      <c r="J82" s="635">
        <f>'5 станки'!M60</f>
        <v>2.1999999999999997E-3</v>
      </c>
      <c r="K82" s="531">
        <f>'5 станки'!N60</f>
        <v>3.3999999999999998E-3</v>
      </c>
      <c r="L82" s="637">
        <f>'5 станки'!M60</f>
        <v>2.1999999999999997E-3</v>
      </c>
      <c r="M82" s="636">
        <f>'5 станки'!N60</f>
        <v>3.3999999999999998E-3</v>
      </c>
      <c r="N82" s="637">
        <f>'5 станки'!M60</f>
        <v>2.1999999999999997E-3</v>
      </c>
      <c r="O82" s="636">
        <f>'5 станки'!N60</f>
        <v>3.3999999999999998E-3</v>
      </c>
    </row>
    <row r="83" spans="2:15" ht="15" customHeight="1" x14ac:dyDescent="0.25">
      <c r="B83" s="1011"/>
      <c r="C83" s="528"/>
      <c r="D83" s="633" t="str">
        <f>'5 станки'!H61</f>
        <v xml:space="preserve">Взвешенные частицы </v>
      </c>
      <c r="E83" s="638">
        <f>'5 станки'!I61</f>
        <v>2902</v>
      </c>
      <c r="F83" s="637"/>
      <c r="G83" s="636"/>
      <c r="H83" s="637">
        <f>'5 станки'!M61</f>
        <v>4.5500000000000002E-3</v>
      </c>
      <c r="I83" s="634">
        <f>'5 станки'!N61</f>
        <v>7.1300000000000001E-3</v>
      </c>
      <c r="J83" s="635">
        <f>'5 станки'!M61</f>
        <v>4.5500000000000002E-3</v>
      </c>
      <c r="K83" s="531">
        <f>'5 станки'!N61</f>
        <v>7.1300000000000001E-3</v>
      </c>
      <c r="L83" s="637">
        <f>'5 станки'!M61</f>
        <v>4.5500000000000002E-3</v>
      </c>
      <c r="M83" s="636">
        <f>'5 станки'!N61</f>
        <v>7.1300000000000001E-3</v>
      </c>
      <c r="N83" s="637">
        <f>'5 станки'!M61</f>
        <v>4.5500000000000002E-3</v>
      </c>
      <c r="O83" s="636">
        <f>'5 станки'!N61</f>
        <v>7.1300000000000001E-3</v>
      </c>
    </row>
    <row r="84" spans="2:15" ht="30" customHeight="1" x14ac:dyDescent="0.25">
      <c r="B84" s="1013"/>
      <c r="C84" s="529"/>
      <c r="D84" s="653" t="str">
        <f>'6 мойка деталей, обезжиривание'!G43</f>
        <v>Натрия карбонат (сода кальцинированная)</v>
      </c>
      <c r="E84" s="675" t="str">
        <f>'6 мойка деталей, обезжиривание'!H43</f>
        <v>0155</v>
      </c>
      <c r="F84" s="655"/>
      <c r="G84" s="656"/>
      <c r="H84" s="655">
        <f>'6 мойка деталей, обезжиривание'!I43</f>
        <v>2.9E-4</v>
      </c>
      <c r="I84" s="654">
        <f>'6 мойка деталей, обезжиривание'!J43</f>
        <v>5.1000000000000004E-4</v>
      </c>
      <c r="J84" s="657">
        <f>'6 мойка деталей, обезжиривание'!I43</f>
        <v>2.9E-4</v>
      </c>
      <c r="K84" s="658">
        <f>'6 мойка деталей, обезжиривание'!J43</f>
        <v>5.1000000000000004E-4</v>
      </c>
      <c r="L84" s="655">
        <f>'6 мойка деталей, обезжиривание'!I43</f>
        <v>2.9E-4</v>
      </c>
      <c r="M84" s="656">
        <f>'6 мойка деталей, обезжиривание'!J43</f>
        <v>5.1000000000000004E-4</v>
      </c>
      <c r="N84" s="655">
        <f>'6 мойка деталей, обезжиривание'!I43</f>
        <v>2.9E-4</v>
      </c>
      <c r="O84" s="656">
        <f>'6 мойка деталей, обезжиривание'!J43</f>
        <v>5.1000000000000004E-4</v>
      </c>
    </row>
    <row r="85" spans="2:15" s="530" customFormat="1" ht="69.95" customHeight="1" x14ac:dyDescent="0.25">
      <c r="B85" s="524" t="s">
        <v>1246</v>
      </c>
      <c r="C85" s="525" t="s">
        <v>294</v>
      </c>
      <c r="D85" s="653" t="str">
        <f>'6 мойка деталей, обезжиривание'!G45</f>
        <v>Натрия карбонат (сода кальцинированная)</v>
      </c>
      <c r="E85" s="675" t="str">
        <f>'6 мойка деталей, обезжиривание'!H45</f>
        <v>0155</v>
      </c>
      <c r="F85" s="655"/>
      <c r="G85" s="656"/>
      <c r="H85" s="655">
        <f>'6 мойка деталей, обезжиривание'!I45</f>
        <v>6.7000000000000002E-4</v>
      </c>
      <c r="I85" s="654">
        <f>'6 мойка деталей, обезжиривание'!J45</f>
        <v>1.1999999999999999E-3</v>
      </c>
      <c r="J85" s="657">
        <f>'6 мойка деталей, обезжиривание'!I45</f>
        <v>6.7000000000000002E-4</v>
      </c>
      <c r="K85" s="658">
        <f>'6 мойка деталей, обезжиривание'!J45</f>
        <v>1.1999999999999999E-3</v>
      </c>
      <c r="L85" s="655">
        <f>'6 мойка деталей, обезжиривание'!I45</f>
        <v>6.7000000000000002E-4</v>
      </c>
      <c r="M85" s="656">
        <f>'6 мойка деталей, обезжиривание'!J45</f>
        <v>1.1999999999999999E-3</v>
      </c>
      <c r="N85" s="655">
        <f>'6 мойка деталей, обезжиривание'!I45</f>
        <v>6.7000000000000002E-4</v>
      </c>
      <c r="O85" s="656">
        <f>'6 мойка деталей, обезжиривание'!J45</f>
        <v>1.1999999999999999E-3</v>
      </c>
    </row>
    <row r="86" spans="2:15" s="530" customFormat="1" ht="69.95" customHeight="1" x14ac:dyDescent="0.25">
      <c r="B86" s="524" t="s">
        <v>295</v>
      </c>
      <c r="C86" s="525" t="s">
        <v>296</v>
      </c>
      <c r="D86" s="647" t="str" cm="1">
        <f t="array" ref="D86">'8 замена масла'!P30:P30</f>
        <v>Масло минеральное нефтяное</v>
      </c>
      <c r="E86" s="648">
        <f>'8 замена масла'!Q30</f>
        <v>2735</v>
      </c>
      <c r="F86" s="649"/>
      <c r="G86" s="650"/>
      <c r="H86" s="649">
        <f>'8 замена масла'!R30</f>
        <v>3.0000000000000001E-5</v>
      </c>
      <c r="I86" s="648">
        <f>'8 замена масла'!S30</f>
        <v>6.0000000000000002E-5</v>
      </c>
      <c r="J86" s="651">
        <f>'8 замена масла'!R30</f>
        <v>3.0000000000000001E-5</v>
      </c>
      <c r="K86" s="652">
        <f>'8 замена масла'!S30</f>
        <v>6.0000000000000002E-5</v>
      </c>
      <c r="L86" s="649">
        <f>'8 замена масла'!R30</f>
        <v>3.0000000000000001E-5</v>
      </c>
      <c r="M86" s="650">
        <f>'8 замена масла'!S30</f>
        <v>6.0000000000000002E-5</v>
      </c>
      <c r="N86" s="649">
        <f>'8 замена масла'!R30</f>
        <v>3.0000000000000001E-5</v>
      </c>
      <c r="O86" s="650">
        <f>'8 замена масла'!S30</f>
        <v>6.0000000000000002E-5</v>
      </c>
    </row>
    <row r="87" spans="2:15" ht="18.75" customHeight="1" x14ac:dyDescent="0.25">
      <c r="B87" s="1010" t="s">
        <v>924</v>
      </c>
      <c r="C87" s="525" t="s">
        <v>1166</v>
      </c>
      <c r="D87" s="647" t="str">
        <f>'6 мойка деталей, обезжиривание'!G49</f>
        <v>Спирт этиловый</v>
      </c>
      <c r="E87" s="676" t="str">
        <f>'6 мойка деталей, обезжиривание'!H49</f>
        <v>1061</v>
      </c>
      <c r="F87" s="649"/>
      <c r="G87" s="650"/>
      <c r="H87" s="649">
        <f>'6 мойка деталей, обезжиривание'!I49</f>
        <v>2.2200000000000002E-3</v>
      </c>
      <c r="I87" s="648">
        <f>'6 мойка деталей, обезжиривание'!J49</f>
        <v>4.8900000000000002E-3</v>
      </c>
      <c r="J87" s="651">
        <f>'6 мойка деталей, обезжиривание'!I49</f>
        <v>2.2200000000000002E-3</v>
      </c>
      <c r="K87" s="652">
        <f>'6 мойка деталей, обезжиривание'!J49</f>
        <v>4.8900000000000002E-3</v>
      </c>
      <c r="L87" s="649">
        <f>'6 мойка деталей, обезжиривание'!I49</f>
        <v>2.2200000000000002E-3</v>
      </c>
      <c r="M87" s="650">
        <f>'6 мойка деталей, обезжиривание'!J49</f>
        <v>4.8900000000000002E-3</v>
      </c>
      <c r="N87" s="649">
        <f>'6 мойка деталей, обезжиривание'!I49</f>
        <v>2.2200000000000002E-3</v>
      </c>
      <c r="O87" s="650">
        <f>'6 мойка деталей, обезжиривание'!J49</f>
        <v>4.8900000000000002E-3</v>
      </c>
    </row>
    <row r="88" spans="2:15" ht="31.5" customHeight="1" x14ac:dyDescent="0.25">
      <c r="B88" s="1011"/>
      <c r="C88" s="528"/>
      <c r="D88" s="633" t="str">
        <f>'7 пайка'!H36</f>
        <v>Канифоль глицериновый эфир</v>
      </c>
      <c r="E88" s="634" t="str">
        <f>'7 пайка'!I36</f>
        <v>2844</v>
      </c>
      <c r="F88" s="635"/>
      <c r="G88" s="636"/>
      <c r="H88" s="637">
        <f>'7 пайка'!K36</f>
        <v>1.5349999999999999E-3</v>
      </c>
      <c r="I88" s="634">
        <f>'7 пайка'!L36</f>
        <v>3.6500000000000005E-3</v>
      </c>
      <c r="J88" s="635">
        <f>'7 пайка'!K36</f>
        <v>1.5349999999999999E-3</v>
      </c>
      <c r="K88" s="531">
        <f>'7 пайка'!L36</f>
        <v>3.6500000000000005E-3</v>
      </c>
      <c r="L88" s="637">
        <f>'7 пайка'!K36</f>
        <v>1.5349999999999999E-3</v>
      </c>
      <c r="M88" s="636">
        <f>'7 пайка'!L36</f>
        <v>3.6500000000000005E-3</v>
      </c>
      <c r="N88" s="637">
        <f>'7 пайка'!K36</f>
        <v>1.5349999999999999E-3</v>
      </c>
      <c r="O88" s="636">
        <f>'7 пайка'!L36</f>
        <v>3.6500000000000005E-3</v>
      </c>
    </row>
    <row r="89" spans="2:15" ht="18.75" customHeight="1" x14ac:dyDescent="0.25">
      <c r="B89" s="1011"/>
      <c r="C89" s="528"/>
      <c r="D89" s="633" t="str">
        <f>'7 пайка'!H37</f>
        <v>Свинец и его соед.</v>
      </c>
      <c r="E89" s="634" t="str">
        <f>'7 пайка'!I37</f>
        <v>0184</v>
      </c>
      <c r="F89" s="635"/>
      <c r="G89" s="636"/>
      <c r="H89" s="637">
        <f>'7 пайка'!K37</f>
        <v>6.0000000000000008E-9</v>
      </c>
      <c r="I89" s="634">
        <f>'7 пайка'!L37</f>
        <v>1.7E-8</v>
      </c>
      <c r="J89" s="635">
        <f>'7 пайка'!K37</f>
        <v>6.0000000000000008E-9</v>
      </c>
      <c r="K89" s="531">
        <f>'7 пайка'!L37</f>
        <v>1.7E-8</v>
      </c>
      <c r="L89" s="637">
        <f>'7 пайка'!K37</f>
        <v>6.0000000000000008E-9</v>
      </c>
      <c r="M89" s="636">
        <f>'7 пайка'!L37</f>
        <v>1.7E-8</v>
      </c>
      <c r="N89" s="637">
        <f>'7 пайка'!K37</f>
        <v>6.0000000000000008E-9</v>
      </c>
      <c r="O89" s="636">
        <f>'7 пайка'!L37</f>
        <v>1.7E-8</v>
      </c>
    </row>
    <row r="90" spans="2:15" ht="18.75" customHeight="1" x14ac:dyDescent="0.25">
      <c r="B90" s="1013"/>
      <c r="C90" s="528"/>
      <c r="D90" s="633" t="str">
        <f>'7 пайка'!H38</f>
        <v>Олова оксид</v>
      </c>
      <c r="E90" s="634" t="str">
        <f>'7 пайка'!I38</f>
        <v>0168</v>
      </c>
      <c r="F90" s="635"/>
      <c r="G90" s="636"/>
      <c r="H90" s="637">
        <f>'7 пайка'!K38</f>
        <v>4.0000000000000002E-9</v>
      </c>
      <c r="I90" s="634">
        <f>'7 пайка'!L38</f>
        <v>8.9999999999999995E-9</v>
      </c>
      <c r="J90" s="635">
        <f>'7 пайка'!K38</f>
        <v>4.0000000000000002E-9</v>
      </c>
      <c r="K90" s="531">
        <f>'7 пайка'!L38</f>
        <v>8.9999999999999995E-9</v>
      </c>
      <c r="L90" s="637">
        <f>'7 пайка'!K38</f>
        <v>4.0000000000000002E-9</v>
      </c>
      <c r="M90" s="636">
        <f>'7 пайка'!L38</f>
        <v>8.9999999999999995E-9</v>
      </c>
      <c r="N90" s="637">
        <f>'7 пайка'!K38</f>
        <v>4.0000000000000002E-9</v>
      </c>
      <c r="O90" s="636">
        <f>'7 пайка'!L38</f>
        <v>8.9999999999999995E-9</v>
      </c>
    </row>
    <row r="91" spans="2:15" ht="73.5" customHeight="1" x14ac:dyDescent="0.25">
      <c r="B91" s="527" t="s">
        <v>1174</v>
      </c>
      <c r="C91" s="525" t="s">
        <v>371</v>
      </c>
      <c r="D91" s="647" t="str">
        <f>'15 Помещение склада извести'!G19</f>
        <v>Кальций оксид</v>
      </c>
      <c r="E91" s="677" t="str">
        <f>'15 Помещение склада извести'!H19</f>
        <v>0128</v>
      </c>
      <c r="F91" s="649"/>
      <c r="G91" s="650"/>
      <c r="H91" s="649"/>
      <c r="I91" s="648"/>
      <c r="J91" s="651"/>
      <c r="K91" s="652"/>
      <c r="L91" s="649">
        <f>'15 Помещение склада извести'!I19</f>
        <v>3.222E-3</v>
      </c>
      <c r="M91" s="650">
        <f>'15 Помещение склада извести'!J19</f>
        <v>0.1016</v>
      </c>
      <c r="N91" s="649">
        <f>'15 Помещение склада извести'!I19</f>
        <v>3.222E-3</v>
      </c>
      <c r="O91" s="650">
        <f>'15 Помещение склада извести'!J19</f>
        <v>0.1016</v>
      </c>
    </row>
    <row r="92" spans="2:15" ht="14.25" customHeight="1" x14ac:dyDescent="0.25">
      <c r="B92" s="1010" t="s">
        <v>498</v>
      </c>
      <c r="C92" s="525" t="s">
        <v>419</v>
      </c>
      <c r="D92" s="626" t="str">
        <f>'12 ЦАЛ'!G73</f>
        <v xml:space="preserve">Углерод оксид </v>
      </c>
      <c r="E92" s="631" t="str">
        <f>'12 ЦАЛ'!H73</f>
        <v>0337</v>
      </c>
      <c r="F92" s="630"/>
      <c r="G92" s="629"/>
      <c r="H92" s="630"/>
      <c r="I92" s="627"/>
      <c r="J92" s="628"/>
      <c r="K92" s="659"/>
      <c r="L92" s="630">
        <f>'12 ЦАЛ'!I20</f>
        <v>2E-3</v>
      </c>
      <c r="M92" s="629">
        <f>'12 ЦАЛ'!J20</f>
        <v>1.5800000000000002E-2</v>
      </c>
      <c r="N92" s="630">
        <f>'12 ЦАЛ'!I73</f>
        <v>2E-3</v>
      </c>
      <c r="O92" s="629">
        <f>'12 ЦАЛ'!J73</f>
        <v>6.3100000000000003E-2</v>
      </c>
    </row>
    <row r="93" spans="2:15" ht="15" customHeight="1" x14ac:dyDescent="0.25">
      <c r="B93" s="1011"/>
      <c r="C93" s="528"/>
      <c r="D93" s="633" t="str">
        <f>'12 ЦАЛ'!G74</f>
        <v>Диоксид азота</v>
      </c>
      <c r="E93" s="638" t="str">
        <f>'12 ЦАЛ'!H74</f>
        <v>0301</v>
      </c>
      <c r="F93" s="637"/>
      <c r="G93" s="636"/>
      <c r="H93" s="637"/>
      <c r="I93" s="634"/>
      <c r="J93" s="635"/>
      <c r="L93" s="637">
        <f>'12 ЦАЛ'!I21</f>
        <v>1.83E-3</v>
      </c>
      <c r="M93" s="636">
        <f>'12 ЦАЛ'!J21</f>
        <v>1.44E-2</v>
      </c>
      <c r="N93" s="637">
        <f>'12 ЦАЛ'!I74</f>
        <v>1.83E-3</v>
      </c>
      <c r="O93" s="636">
        <f>'12 ЦАЛ'!J74</f>
        <v>5.7700000000000001E-2</v>
      </c>
    </row>
    <row r="94" spans="2:15" ht="15" customHeight="1" x14ac:dyDescent="0.25">
      <c r="B94" s="1011"/>
      <c r="C94" s="528"/>
      <c r="D94" s="633" t="str">
        <f>'12 ЦАЛ'!G75</f>
        <v>Оксид азота</v>
      </c>
      <c r="E94" s="638" t="str">
        <f>'12 ЦАЛ'!H75</f>
        <v>0304</v>
      </c>
      <c r="F94" s="637"/>
      <c r="G94" s="636"/>
      <c r="H94" s="637"/>
      <c r="I94" s="634"/>
      <c r="J94" s="635"/>
      <c r="L94" s="637">
        <f>'12 ЦАЛ'!I22</f>
        <v>2.3800000000000002E-3</v>
      </c>
      <c r="M94" s="636">
        <f>'12 ЦАЛ'!J22</f>
        <v>1.8800000000000001E-2</v>
      </c>
      <c r="N94" s="637">
        <f>'12 ЦАЛ'!I75</f>
        <v>2.3800000000000002E-3</v>
      </c>
      <c r="O94" s="636">
        <f>'12 ЦАЛ'!J75</f>
        <v>7.51E-2</v>
      </c>
    </row>
    <row r="95" spans="2:15" ht="15" customHeight="1" x14ac:dyDescent="0.25">
      <c r="B95" s="1011"/>
      <c r="C95" s="528"/>
      <c r="D95" s="633" t="str">
        <f>'12 ЦАЛ'!G76</f>
        <v>Натрия карбонат (сода кальцинированная)</v>
      </c>
      <c r="E95" s="638" t="str">
        <f>'12 ЦАЛ'!H76</f>
        <v>0155</v>
      </c>
      <c r="F95" s="637"/>
      <c r="G95" s="636"/>
      <c r="H95" s="637"/>
      <c r="I95" s="634"/>
      <c r="J95" s="635"/>
      <c r="L95" s="637">
        <f>'12 ЦАЛ'!I23</f>
        <v>5.0000000000000001E-4</v>
      </c>
      <c r="M95" s="636">
        <f>'12 ЦАЛ'!J23</f>
        <v>3.8999999999999998E-3</v>
      </c>
      <c r="N95" s="637">
        <f>'12 ЦАЛ'!I76</f>
        <v>5.0000000000000001E-4</v>
      </c>
      <c r="O95" s="636">
        <f>'12 ЦАЛ'!J76</f>
        <v>1.5800000000000002E-2</v>
      </c>
    </row>
    <row r="96" spans="2:15" ht="15" customHeight="1" x14ac:dyDescent="0.25">
      <c r="B96" s="1011"/>
      <c r="C96" s="528"/>
      <c r="D96" s="633" t="str">
        <f>'12 ЦАЛ'!G77</f>
        <v xml:space="preserve">Пыль неорганическая, содержащая двуокись кремния в %: более 70 </v>
      </c>
      <c r="E96" s="638" t="str">
        <f>'12 ЦАЛ'!H77</f>
        <v>2907</v>
      </c>
      <c r="F96" s="637"/>
      <c r="G96" s="636"/>
      <c r="H96" s="637"/>
      <c r="I96" s="634"/>
      <c r="J96" s="635"/>
      <c r="L96" s="637">
        <f>'12 ЦАЛ'!I24</f>
        <v>4.0999999999999999E-4</v>
      </c>
      <c r="M96" s="636">
        <f>'12 ЦАЛ'!J24</f>
        <v>3.2000000000000002E-3</v>
      </c>
      <c r="N96" s="637">
        <f>'12 ЦАЛ'!I77</f>
        <v>4.0999999999999999E-4</v>
      </c>
      <c r="O96" s="636">
        <f>'12 ЦАЛ'!J77</f>
        <v>1.29E-2</v>
      </c>
    </row>
    <row r="97" spans="2:15" ht="15" customHeight="1" x14ac:dyDescent="0.25">
      <c r="B97" s="1011"/>
      <c r="C97" s="528"/>
      <c r="D97" s="633" t="str">
        <f>'12 ЦАЛ'!G78</f>
        <v>Серная кислота</v>
      </c>
      <c r="E97" s="638" t="str">
        <f>'12 ЦАЛ'!H78</f>
        <v>0322</v>
      </c>
      <c r="F97" s="637"/>
      <c r="G97" s="636"/>
      <c r="H97" s="637"/>
      <c r="I97" s="634"/>
      <c r="J97" s="635"/>
      <c r="L97" s="637">
        <f>'12 ЦАЛ'!I25</f>
        <v>1.2E-4</v>
      </c>
      <c r="M97" s="636">
        <f>'12 ЦАЛ'!J25</f>
        <v>8.9999999999999998E-4</v>
      </c>
      <c r="N97" s="637">
        <f>'12 ЦАЛ'!I78</f>
        <v>1.2E-4</v>
      </c>
      <c r="O97" s="636">
        <f>'12 ЦАЛ'!J78</f>
        <v>3.8E-3</v>
      </c>
    </row>
    <row r="98" spans="2:15" ht="15" customHeight="1" x14ac:dyDescent="0.25">
      <c r="B98" s="1011"/>
      <c r="C98" s="528"/>
      <c r="D98" s="633" t="str">
        <f>'12 ЦАЛ'!G79</f>
        <v>Диоксид серы</v>
      </c>
      <c r="E98" s="638" t="str">
        <f>'12 ЦАЛ'!H79</f>
        <v>0330</v>
      </c>
      <c r="F98" s="637"/>
      <c r="G98" s="636"/>
      <c r="H98" s="637"/>
      <c r="I98" s="634"/>
      <c r="J98" s="635"/>
      <c r="L98" s="637">
        <f>'12 ЦАЛ'!I26</f>
        <v>5.5999999999999995E-4</v>
      </c>
      <c r="M98" s="636">
        <f>'12 ЦАЛ'!J26</f>
        <v>4.4000000000000003E-3</v>
      </c>
      <c r="N98" s="637">
        <f>'12 ЦАЛ'!I79</f>
        <v>5.5999999999999995E-4</v>
      </c>
      <c r="O98" s="636">
        <f>'12 ЦАЛ'!J79</f>
        <v>1.77E-2</v>
      </c>
    </row>
    <row r="99" spans="2:15" ht="15" customHeight="1" x14ac:dyDescent="0.25">
      <c r="B99" s="1011"/>
      <c r="C99" s="528"/>
      <c r="D99" s="633" t="str">
        <f>'12 ЦАЛ'!G80</f>
        <v>Оксид меди</v>
      </c>
      <c r="E99" s="638" t="str">
        <f>'12 ЦАЛ'!H80</f>
        <v>0146</v>
      </c>
      <c r="F99" s="637"/>
      <c r="G99" s="636"/>
      <c r="H99" s="637"/>
      <c r="I99" s="634"/>
      <c r="J99" s="635"/>
      <c r="L99" s="637">
        <f>'12 ЦАЛ'!I27</f>
        <v>5.8E-4</v>
      </c>
      <c r="M99" s="636">
        <f>'12 ЦАЛ'!J27</f>
        <v>4.5999999999999999E-3</v>
      </c>
      <c r="N99" s="637">
        <f>'12 ЦАЛ'!I80</f>
        <v>5.8E-4</v>
      </c>
      <c r="O99" s="636">
        <f>'12 ЦАЛ'!J80</f>
        <v>1.83E-2</v>
      </c>
    </row>
    <row r="100" spans="2:15" ht="15" customHeight="1" x14ac:dyDescent="0.25">
      <c r="B100" s="1011"/>
      <c r="C100" s="528"/>
      <c r="D100" s="633" t="str">
        <f>'12 ЦАЛ'!G81</f>
        <v>Свинец и его неорганические соединения</v>
      </c>
      <c r="E100" s="638" t="str">
        <f>'12 ЦАЛ'!H81</f>
        <v>0184</v>
      </c>
      <c r="F100" s="637"/>
      <c r="G100" s="636"/>
      <c r="H100" s="637"/>
      <c r="I100" s="634"/>
      <c r="J100" s="635"/>
      <c r="L100" s="637">
        <f>'12 ЦАЛ'!I28</f>
        <v>3.0000000000000001E-5</v>
      </c>
      <c r="M100" s="636">
        <f>'12 ЦАЛ'!J28</f>
        <v>2.4000000000000001E-4</v>
      </c>
      <c r="N100" s="637">
        <f>'12 ЦАЛ'!I81</f>
        <v>3.0000000000000001E-5</v>
      </c>
      <c r="O100" s="636">
        <f>'12 ЦАЛ'!J81</f>
        <v>9.5E-4</v>
      </c>
    </row>
    <row r="101" spans="2:15" ht="15" customHeight="1" x14ac:dyDescent="0.25">
      <c r="B101" s="1011"/>
      <c r="C101" s="528"/>
      <c r="D101" s="633" t="str">
        <f>'12 ЦАЛ'!G82</f>
        <v>Азотная кислота</v>
      </c>
      <c r="E101" s="638" t="str">
        <f>'12 ЦАЛ'!H82</f>
        <v>0302</v>
      </c>
      <c r="F101" s="637"/>
      <c r="G101" s="636"/>
      <c r="H101" s="637"/>
      <c r="I101" s="634"/>
      <c r="J101" s="635"/>
      <c r="L101" s="637">
        <f>'12 ЦАЛ'!I29</f>
        <v>8.3000000000000001E-4</v>
      </c>
      <c r="M101" s="636">
        <f>'12 ЦАЛ'!J29</f>
        <v>6.5399999999999998E-3</v>
      </c>
      <c r="N101" s="637">
        <f>'12 ЦАЛ'!I82</f>
        <v>8.3000000000000001E-4</v>
      </c>
      <c r="O101" s="636">
        <f>'12 ЦАЛ'!J82</f>
        <v>2.6169999999999999E-2</v>
      </c>
    </row>
    <row r="102" spans="2:15" ht="15" customHeight="1" x14ac:dyDescent="0.25">
      <c r="B102" s="1011"/>
      <c r="C102" s="528"/>
      <c r="D102" s="633" t="str">
        <f>'12 ЦАЛ'!G83</f>
        <v>Соляная кислота</v>
      </c>
      <c r="E102" s="638" t="str">
        <f>'12 ЦАЛ'!H83</f>
        <v>0316</v>
      </c>
      <c r="F102" s="637"/>
      <c r="G102" s="636"/>
      <c r="H102" s="637"/>
      <c r="I102" s="634"/>
      <c r="J102" s="635"/>
      <c r="L102" s="637">
        <f>'12 ЦАЛ'!I30</f>
        <v>1.4590000000000001E-2</v>
      </c>
      <c r="M102" s="636">
        <f>'12 ЦАЛ'!J30</f>
        <v>0.11502999999999999</v>
      </c>
      <c r="N102" s="637">
        <f>'12 ЦАЛ'!I83</f>
        <v>1.4590000000000001E-2</v>
      </c>
      <c r="O102" s="636">
        <f>'12 ЦАЛ'!J83</f>
        <v>0.46011000000000002</v>
      </c>
    </row>
    <row r="103" spans="2:15" ht="15" customHeight="1" x14ac:dyDescent="0.25">
      <c r="B103" s="1011"/>
      <c r="C103" s="529"/>
      <c r="D103" s="640" t="str">
        <f>'12 ЦАЛ'!G84</f>
        <v>Хлор</v>
      </c>
      <c r="E103" s="645" t="str">
        <f>'12 ЦАЛ'!H84</f>
        <v>0349</v>
      </c>
      <c r="F103" s="644"/>
      <c r="G103" s="643"/>
      <c r="H103" s="644"/>
      <c r="I103" s="641"/>
      <c r="J103" s="642"/>
      <c r="K103" s="661"/>
      <c r="L103" s="644">
        <f>'12 ЦАЛ'!I31</f>
        <v>1.0000000000000001E-5</v>
      </c>
      <c r="M103" s="643">
        <f>'12 ЦАЛ'!J31</f>
        <v>8.0000000000000007E-5</v>
      </c>
      <c r="N103" s="644">
        <f>'12 ЦАЛ'!I84</f>
        <v>1.0000000000000001E-5</v>
      </c>
      <c r="O103" s="643">
        <f>'12 ЦАЛ'!J84</f>
        <v>3.2000000000000003E-4</v>
      </c>
    </row>
    <row r="104" spans="2:15" ht="15" customHeight="1" x14ac:dyDescent="0.25">
      <c r="B104" s="1011"/>
      <c r="C104" s="525" t="s">
        <v>431</v>
      </c>
      <c r="D104" s="626" t="str">
        <f>'12 ЦАЛ'!G85</f>
        <v xml:space="preserve">Углерод оксид </v>
      </c>
      <c r="E104" s="631" t="str">
        <f>'12 ЦАЛ'!H85</f>
        <v>0337</v>
      </c>
      <c r="F104" s="630"/>
      <c r="G104" s="629"/>
      <c r="H104" s="630"/>
      <c r="I104" s="627"/>
      <c r="J104" s="628"/>
      <c r="K104" s="659"/>
      <c r="L104" s="630">
        <f>'12 ЦАЛ'!I32</f>
        <v>2.2200000000000002E-3</v>
      </c>
      <c r="M104" s="629">
        <f>'12 ЦАЛ'!J32</f>
        <v>1.7500000000000002E-2</v>
      </c>
      <c r="N104" s="630">
        <f>'12 ЦАЛ'!I85</f>
        <v>2.2200000000000002E-3</v>
      </c>
      <c r="O104" s="629">
        <f>'12 ЦАЛ'!J85</f>
        <v>7.0000000000000007E-2</v>
      </c>
    </row>
    <row r="105" spans="2:15" ht="15" customHeight="1" x14ac:dyDescent="0.25">
      <c r="B105" s="1011"/>
      <c r="C105" s="528"/>
      <c r="D105" s="633" t="str">
        <f>'12 ЦАЛ'!G86</f>
        <v>Оксид азота</v>
      </c>
      <c r="E105" s="638" t="str">
        <f>'12 ЦАЛ'!H86</f>
        <v>0304</v>
      </c>
      <c r="F105" s="637"/>
      <c r="G105" s="636"/>
      <c r="H105" s="637"/>
      <c r="I105" s="634"/>
      <c r="J105" s="635"/>
      <c r="L105" s="637">
        <f>'12 ЦАЛ'!I33</f>
        <v>1.6800000000000001E-3</v>
      </c>
      <c r="M105" s="636">
        <f>'12 ЦАЛ'!J33</f>
        <v>1.32E-2</v>
      </c>
      <c r="N105" s="637">
        <f>'12 ЦАЛ'!I86</f>
        <v>1.6800000000000001E-3</v>
      </c>
      <c r="O105" s="636">
        <f>'12 ЦАЛ'!J86</f>
        <v>5.2999999999999999E-2</v>
      </c>
    </row>
    <row r="106" spans="2:15" ht="15" customHeight="1" x14ac:dyDescent="0.25">
      <c r="B106" s="1011"/>
      <c r="C106" s="525" t="s">
        <v>436</v>
      </c>
      <c r="D106" s="626" t="str">
        <f>'12 ЦАЛ'!G87</f>
        <v xml:space="preserve">Углерод оксид </v>
      </c>
      <c r="E106" s="631" t="str">
        <f>'12 ЦАЛ'!H87</f>
        <v>0337</v>
      </c>
      <c r="F106" s="630"/>
      <c r="G106" s="629"/>
      <c r="H106" s="630"/>
      <c r="I106" s="627"/>
      <c r="J106" s="628"/>
      <c r="K106" s="659"/>
      <c r="L106" s="630">
        <f>'12 ЦАЛ'!I34</f>
        <v>4.4400000000000004E-3</v>
      </c>
      <c r="M106" s="629">
        <f>'12 ЦАЛ'!J34</f>
        <v>3.5000000000000003E-2</v>
      </c>
      <c r="N106" s="630">
        <f>'12 ЦАЛ'!I87</f>
        <v>4.4400000000000004E-3</v>
      </c>
      <c r="O106" s="629">
        <f>'12 ЦАЛ'!J87</f>
        <v>0.14000000000000001</v>
      </c>
    </row>
    <row r="107" spans="2:15" ht="15" customHeight="1" x14ac:dyDescent="0.25">
      <c r="B107" s="1011"/>
      <c r="C107" s="528"/>
      <c r="D107" s="633" t="str">
        <f>'12 ЦАЛ'!G88</f>
        <v>Оксид азота</v>
      </c>
      <c r="E107" s="638" t="str">
        <f>'12 ЦАЛ'!H88</f>
        <v>0304</v>
      </c>
      <c r="F107" s="637"/>
      <c r="G107" s="636"/>
      <c r="H107" s="637"/>
      <c r="I107" s="634"/>
      <c r="J107" s="635"/>
      <c r="L107" s="637">
        <f>'12 ЦАЛ'!I35</f>
        <v>1.6800000000000001E-3</v>
      </c>
      <c r="M107" s="636">
        <f>'12 ЦАЛ'!J35</f>
        <v>1.32E-2</v>
      </c>
      <c r="N107" s="637">
        <f>'12 ЦАЛ'!I88</f>
        <v>1.6800000000000001E-3</v>
      </c>
      <c r="O107" s="636">
        <f>'12 ЦАЛ'!J88</f>
        <v>5.2999999999999999E-2</v>
      </c>
    </row>
    <row r="108" spans="2:15" ht="14.25" customHeight="1" x14ac:dyDescent="0.25">
      <c r="B108" s="1011"/>
      <c r="C108" s="525" t="s">
        <v>445</v>
      </c>
      <c r="D108" s="626" t="str">
        <f>'12 ЦАЛ'!G89</f>
        <v xml:space="preserve">Углерод оксид </v>
      </c>
      <c r="E108" s="631" t="str">
        <f>'12 ЦАЛ'!H89</f>
        <v>0337</v>
      </c>
      <c r="F108" s="630"/>
      <c r="G108" s="629"/>
      <c r="H108" s="630"/>
      <c r="I108" s="627"/>
      <c r="J108" s="628"/>
      <c r="K108" s="659"/>
      <c r="L108" s="630">
        <f>'12 ЦАЛ'!I36</f>
        <v>7.9000000000000001E-4</v>
      </c>
      <c r="M108" s="629">
        <f>'12 ЦАЛ'!J36</f>
        <v>6.1999999999999998E-3</v>
      </c>
      <c r="N108" s="630">
        <f>'12 ЦАЛ'!I89</f>
        <v>7.9000000000000001E-4</v>
      </c>
      <c r="O108" s="629">
        <f>'12 ЦАЛ'!J89</f>
        <v>2.4899999999999999E-2</v>
      </c>
    </row>
    <row r="109" spans="2:15" ht="15" customHeight="1" x14ac:dyDescent="0.25">
      <c r="B109" s="1011"/>
      <c r="C109" s="528"/>
      <c r="D109" s="633" t="str">
        <f>'12 ЦАЛ'!G90</f>
        <v>Диоксид азота</v>
      </c>
      <c r="E109" s="638" t="str">
        <f>'12 ЦАЛ'!H90</f>
        <v>0301</v>
      </c>
      <c r="F109" s="637"/>
      <c r="G109" s="636"/>
      <c r="H109" s="637"/>
      <c r="I109" s="634"/>
      <c r="J109" s="635"/>
      <c r="L109" s="637">
        <f>'12 ЦАЛ'!I37</f>
        <v>2.3800000000000002E-3</v>
      </c>
      <c r="M109" s="636">
        <f>'12 ЦАЛ'!J37</f>
        <v>1.8800000000000001E-2</v>
      </c>
      <c r="N109" s="637">
        <f>'12 ЦАЛ'!I90</f>
        <v>2.3800000000000002E-3</v>
      </c>
      <c r="O109" s="636">
        <f>'12 ЦАЛ'!J90</f>
        <v>7.51E-2</v>
      </c>
    </row>
    <row r="110" spans="2:15" ht="15" customHeight="1" x14ac:dyDescent="0.25">
      <c r="B110" s="1011"/>
      <c r="C110" s="528"/>
      <c r="D110" s="633" t="str">
        <f>'12 ЦАЛ'!G91</f>
        <v>Оксид азота</v>
      </c>
      <c r="E110" s="638" t="str">
        <f>'12 ЦАЛ'!H91</f>
        <v>0304</v>
      </c>
      <c r="F110" s="637"/>
      <c r="G110" s="636"/>
      <c r="H110" s="637"/>
      <c r="I110" s="634"/>
      <c r="J110" s="635"/>
      <c r="L110" s="637">
        <f>'12 ЦАЛ'!I38</f>
        <v>2.1099999999999999E-3</v>
      </c>
      <c r="M110" s="636">
        <f>'12 ЦАЛ'!J38</f>
        <v>1.66E-2</v>
      </c>
      <c r="N110" s="637">
        <f>'12 ЦАЛ'!I91</f>
        <v>2.1099999999999999E-3</v>
      </c>
      <c r="O110" s="636">
        <f>'12 ЦАЛ'!J91</f>
        <v>6.6500000000000004E-2</v>
      </c>
    </row>
    <row r="111" spans="2:15" ht="15" customHeight="1" x14ac:dyDescent="0.25">
      <c r="B111" s="1011"/>
      <c r="C111" s="528"/>
      <c r="D111" s="633" t="str">
        <f>'12 ЦАЛ'!G92</f>
        <v>Серная кислота</v>
      </c>
      <c r="E111" s="638" t="str">
        <f>'12 ЦАЛ'!H92</f>
        <v>0322</v>
      </c>
      <c r="F111" s="637"/>
      <c r="G111" s="636"/>
      <c r="H111" s="637"/>
      <c r="I111" s="634"/>
      <c r="J111" s="635"/>
      <c r="L111" s="637">
        <f>'12 ЦАЛ'!I39</f>
        <v>2.2399999999999998E-3</v>
      </c>
      <c r="M111" s="636">
        <f>'12 ЦАЛ'!J39</f>
        <v>1.77E-2</v>
      </c>
      <c r="N111" s="637">
        <f>'12 ЦАЛ'!I92</f>
        <v>2.2399999999999998E-3</v>
      </c>
      <c r="O111" s="636">
        <f>'12 ЦАЛ'!J92</f>
        <v>7.0599999999999996E-2</v>
      </c>
    </row>
    <row r="112" spans="2:15" ht="15" customHeight="1" x14ac:dyDescent="0.25">
      <c r="B112" s="1011"/>
      <c r="C112" s="528"/>
      <c r="D112" s="633" t="str">
        <f>'12 ЦАЛ'!G93</f>
        <v>Азотная кислота</v>
      </c>
      <c r="E112" s="638" t="str">
        <f>'12 ЦАЛ'!H93</f>
        <v>0302</v>
      </c>
      <c r="F112" s="637"/>
      <c r="G112" s="636"/>
      <c r="H112" s="637"/>
      <c r="I112" s="634"/>
      <c r="J112" s="635"/>
      <c r="L112" s="637">
        <f>'12 ЦАЛ'!I40</f>
        <v>3.9500000000000001E-4</v>
      </c>
      <c r="M112" s="636">
        <f>'12 ЦАЛ'!J40</f>
        <v>3.1099999999999999E-3</v>
      </c>
      <c r="N112" s="637">
        <f>'12 ЦАЛ'!I93</f>
        <v>3.9500000000000001E-4</v>
      </c>
      <c r="O112" s="636">
        <f>'12 ЦАЛ'!J93</f>
        <v>1.2460000000000001E-2</v>
      </c>
    </row>
    <row r="113" spans="2:15" ht="15" customHeight="1" x14ac:dyDescent="0.25">
      <c r="B113" s="1011"/>
      <c r="C113" s="528"/>
      <c r="D113" s="640" t="str">
        <f>'12 ЦАЛ'!G94</f>
        <v>Соляная кислота</v>
      </c>
      <c r="E113" s="645" t="str">
        <f>'12 ЦАЛ'!H94</f>
        <v>0316</v>
      </c>
      <c r="F113" s="644"/>
      <c r="G113" s="643"/>
      <c r="H113" s="644"/>
      <c r="I113" s="641"/>
      <c r="J113" s="642"/>
      <c r="K113" s="661"/>
      <c r="L113" s="644">
        <f>'12 ЦАЛ'!I41</f>
        <v>3.9500000000000001E-4</v>
      </c>
      <c r="M113" s="643">
        <f>'12 ЦАЛ'!J41</f>
        <v>3.1099999999999999E-3</v>
      </c>
      <c r="N113" s="644">
        <f>'12 ЦАЛ'!I94</f>
        <v>3.9500000000000001E-4</v>
      </c>
      <c r="O113" s="643">
        <f>'12 ЦАЛ'!J94</f>
        <v>1.2460000000000001E-2</v>
      </c>
    </row>
    <row r="114" spans="2:15" ht="14.25" customHeight="1" x14ac:dyDescent="0.25">
      <c r="B114" s="1011"/>
      <c r="C114" s="525" t="s">
        <v>449</v>
      </c>
      <c r="D114" s="626" t="str">
        <f>'12 ЦАЛ'!G95</f>
        <v xml:space="preserve">Углерод оксид </v>
      </c>
      <c r="E114" s="631" t="str">
        <f>'12 ЦАЛ'!H95</f>
        <v>0337</v>
      </c>
      <c r="F114" s="630"/>
      <c r="G114" s="629"/>
      <c r="H114" s="630"/>
      <c r="I114" s="627"/>
      <c r="J114" s="628"/>
      <c r="K114" s="659"/>
      <c r="L114" s="630">
        <f>'12 ЦАЛ'!I42</f>
        <v>3.1700000000000001E-3</v>
      </c>
      <c r="M114" s="629">
        <f>'12 ЦАЛ'!J42</f>
        <v>2.5000000000000001E-2</v>
      </c>
      <c r="N114" s="630">
        <f>'12 ЦАЛ'!I95</f>
        <v>3.1700000000000001E-3</v>
      </c>
      <c r="O114" s="629">
        <f>'12 ЦАЛ'!J95</f>
        <v>0.1</v>
      </c>
    </row>
    <row r="115" spans="2:15" ht="15" customHeight="1" x14ac:dyDescent="0.25">
      <c r="B115" s="1011"/>
      <c r="C115" s="528"/>
      <c r="D115" s="633" t="str">
        <f>'12 ЦАЛ'!G96</f>
        <v>Диоксид азота</v>
      </c>
      <c r="E115" s="638" t="str">
        <f>'12 ЦАЛ'!H96</f>
        <v>0301</v>
      </c>
      <c r="F115" s="637"/>
      <c r="G115" s="636"/>
      <c r="H115" s="637"/>
      <c r="I115" s="634"/>
      <c r="J115" s="635"/>
      <c r="L115" s="637">
        <f>'12 ЦАЛ'!I43</f>
        <v>3.1700000000000001E-3</v>
      </c>
      <c r="M115" s="636">
        <f>'12 ЦАЛ'!J43</f>
        <v>2.5000000000000001E-2</v>
      </c>
      <c r="N115" s="637">
        <f>'12 ЦАЛ'!I96</f>
        <v>3.1700000000000001E-3</v>
      </c>
      <c r="O115" s="636">
        <f>'12 ЦАЛ'!J96</f>
        <v>0.1</v>
      </c>
    </row>
    <row r="116" spans="2:15" ht="15" customHeight="1" x14ac:dyDescent="0.25">
      <c r="B116" s="1011"/>
      <c r="C116" s="528"/>
      <c r="D116" s="633" t="str">
        <f>'12 ЦАЛ'!G97</f>
        <v>Оксид азота</v>
      </c>
      <c r="E116" s="638" t="str">
        <f>'12 ЦАЛ'!H97</f>
        <v>0304</v>
      </c>
      <c r="F116" s="637"/>
      <c r="G116" s="636"/>
      <c r="H116" s="637"/>
      <c r="I116" s="634"/>
      <c r="J116" s="635"/>
      <c r="L116" s="637">
        <f>'12 ЦАЛ'!I44</f>
        <v>5.28E-3</v>
      </c>
      <c r="M116" s="636">
        <f>'12 ЦАЛ'!J44</f>
        <v>4.1599999999999998E-2</v>
      </c>
      <c r="N116" s="637">
        <f>'12 ЦАЛ'!I97</f>
        <v>5.28E-3</v>
      </c>
      <c r="O116" s="636">
        <f>'12 ЦАЛ'!J97</f>
        <v>0.16650000000000001</v>
      </c>
    </row>
    <row r="117" spans="2:15" ht="15" customHeight="1" x14ac:dyDescent="0.25">
      <c r="B117" s="1011"/>
      <c r="C117" s="528"/>
      <c r="D117" s="633" t="str">
        <f>'12 ЦАЛ'!G98</f>
        <v>Азотная кислота</v>
      </c>
      <c r="E117" s="638" t="str">
        <f>'12 ЦАЛ'!H98</f>
        <v>0302</v>
      </c>
      <c r="F117" s="637"/>
      <c r="G117" s="636"/>
      <c r="H117" s="637"/>
      <c r="I117" s="634"/>
      <c r="J117" s="635"/>
      <c r="L117" s="637">
        <f>'12 ЦАЛ'!I45</f>
        <v>1.585E-3</v>
      </c>
      <c r="M117" s="636">
        <f>'12 ЦАЛ'!J45</f>
        <v>1.2500000000000001E-2</v>
      </c>
      <c r="N117" s="637">
        <f>'12 ЦАЛ'!I98</f>
        <v>1.585E-3</v>
      </c>
      <c r="O117" s="636">
        <f>'12 ЦАЛ'!J98</f>
        <v>4.9979999999999997E-2</v>
      </c>
    </row>
    <row r="118" spans="2:15" ht="15" customHeight="1" x14ac:dyDescent="0.25">
      <c r="B118" s="1011"/>
      <c r="C118" s="528"/>
      <c r="D118" s="633" t="str">
        <f>'12 ЦАЛ'!G99</f>
        <v>Соляная кислота</v>
      </c>
      <c r="E118" s="638" t="str">
        <f>'12 ЦАЛ'!H99</f>
        <v>0316</v>
      </c>
      <c r="F118" s="637"/>
      <c r="G118" s="636"/>
      <c r="H118" s="637"/>
      <c r="I118" s="634"/>
      <c r="J118" s="635"/>
      <c r="L118" s="637">
        <f>'12 ЦАЛ'!I46</f>
        <v>1.585E-3</v>
      </c>
      <c r="M118" s="636">
        <f>'12 ЦАЛ'!J46</f>
        <v>1.2500000000000001E-2</v>
      </c>
      <c r="N118" s="637">
        <f>'12 ЦАЛ'!I99</f>
        <v>1.585E-3</v>
      </c>
      <c r="O118" s="636">
        <f>'12 ЦАЛ'!J99</f>
        <v>4.9979999999999997E-2</v>
      </c>
    </row>
    <row r="119" spans="2:15" ht="15" customHeight="1" x14ac:dyDescent="0.25">
      <c r="B119" s="1011"/>
      <c r="C119" s="528"/>
      <c r="D119" s="640" t="str">
        <f>'12 ЦАЛ'!G100</f>
        <v>Хлор</v>
      </c>
      <c r="E119" s="645" t="str">
        <f>'12 ЦАЛ'!H100</f>
        <v>0349</v>
      </c>
      <c r="F119" s="644"/>
      <c r="G119" s="643"/>
      <c r="H119" s="644"/>
      <c r="I119" s="641"/>
      <c r="J119" s="642"/>
      <c r="K119" s="661"/>
      <c r="L119" s="644">
        <f>'12 ЦАЛ'!I47</f>
        <v>1.0000000000000001E-5</v>
      </c>
      <c r="M119" s="643">
        <f>'12 ЦАЛ'!J47</f>
        <v>1E-4</v>
      </c>
      <c r="N119" s="644">
        <f>'12 ЦАЛ'!I100</f>
        <v>1.0000000000000001E-5</v>
      </c>
      <c r="O119" s="643">
        <f>'12 ЦАЛ'!J100</f>
        <v>2.9999999999999997E-4</v>
      </c>
    </row>
    <row r="120" spans="2:15" ht="14.25" customHeight="1" x14ac:dyDescent="0.25">
      <c r="B120" s="1011"/>
      <c r="C120" s="525" t="s">
        <v>453</v>
      </c>
      <c r="D120" s="626" t="str">
        <f>'12 ЦАЛ'!G101</f>
        <v>Диоксид азота</v>
      </c>
      <c r="E120" s="631" t="str">
        <f>'12 ЦАЛ'!H101</f>
        <v>0301</v>
      </c>
      <c r="F120" s="630"/>
      <c r="G120" s="629"/>
      <c r="H120" s="630"/>
      <c r="I120" s="627"/>
      <c r="J120" s="628"/>
      <c r="K120" s="659"/>
      <c r="L120" s="630">
        <f>'12 ЦАЛ'!I48</f>
        <v>3.96E-3</v>
      </c>
      <c r="M120" s="629">
        <f>'12 ЦАЛ'!J48</f>
        <v>3.1199999999999999E-2</v>
      </c>
      <c r="N120" s="630">
        <f>'12 ЦАЛ'!I101</f>
        <v>3.96E-3</v>
      </c>
      <c r="O120" s="629">
        <f>'12 ЦАЛ'!J101</f>
        <v>0.1249</v>
      </c>
    </row>
    <row r="121" spans="2:15" ht="15" customHeight="1" x14ac:dyDescent="0.25">
      <c r="B121" s="1011"/>
      <c r="C121" s="528"/>
      <c r="D121" s="633" t="str">
        <f>'12 ЦАЛ'!G102</f>
        <v>Оксид азота</v>
      </c>
      <c r="E121" s="638" t="str">
        <f>'12 ЦАЛ'!H102</f>
        <v>0304</v>
      </c>
      <c r="F121" s="637"/>
      <c r="G121" s="636"/>
      <c r="H121" s="637"/>
      <c r="I121" s="634"/>
      <c r="J121" s="635"/>
      <c r="L121" s="637">
        <f>'12 ЦАЛ'!I49</f>
        <v>2.64E-3</v>
      </c>
      <c r="M121" s="636">
        <f>'12 ЦАЛ'!J49</f>
        <v>2.0799999999999999E-2</v>
      </c>
      <c r="N121" s="637">
        <f>'12 ЦАЛ'!I102</f>
        <v>2.64E-3</v>
      </c>
      <c r="O121" s="636">
        <f>'12 ЦАЛ'!J102</f>
        <v>8.3299999999999999E-2</v>
      </c>
    </row>
    <row r="122" spans="2:15" ht="15" customHeight="1" x14ac:dyDescent="0.25">
      <c r="B122" s="1011"/>
      <c r="C122" s="528"/>
      <c r="D122" s="640" t="str">
        <f>'12 ЦАЛ'!G103</f>
        <v>Азотная кислота</v>
      </c>
      <c r="E122" s="645" t="str">
        <f>'12 ЦАЛ'!H103</f>
        <v>0302</v>
      </c>
      <c r="F122" s="644"/>
      <c r="G122" s="643"/>
      <c r="H122" s="644"/>
      <c r="I122" s="641"/>
      <c r="J122" s="642"/>
      <c r="K122" s="661"/>
      <c r="L122" s="644">
        <f>'12 ЦАЛ'!I50</f>
        <v>1.32E-3</v>
      </c>
      <c r="M122" s="643">
        <f>'12 ЦАЛ'!J50</f>
        <v>1.04E-2</v>
      </c>
      <c r="N122" s="644">
        <f>'12 ЦАЛ'!I103</f>
        <v>1.32E-3</v>
      </c>
      <c r="O122" s="643">
        <f>'12 ЦАЛ'!J103</f>
        <v>4.1599999999999998E-2</v>
      </c>
    </row>
    <row r="123" spans="2:15" ht="14.25" customHeight="1" x14ac:dyDescent="0.25">
      <c r="B123" s="1011"/>
      <c r="C123" s="525" t="s">
        <v>454</v>
      </c>
      <c r="D123" s="626"/>
      <c r="E123" s="631"/>
      <c r="F123" s="630"/>
      <c r="G123" s="629"/>
      <c r="H123" s="630"/>
      <c r="I123" s="627"/>
      <c r="J123" s="628"/>
      <c r="K123" s="659"/>
      <c r="L123" s="630"/>
      <c r="M123" s="629"/>
      <c r="N123" s="630"/>
      <c r="O123" s="629"/>
    </row>
    <row r="124" spans="2:15" ht="15" customHeight="1" x14ac:dyDescent="0.25">
      <c r="B124" s="1011"/>
      <c r="C124" s="528"/>
      <c r="D124" s="633" t="str">
        <f>'12 ЦАЛ'!G104</f>
        <v>Диоксид серы</v>
      </c>
      <c r="E124" s="638" t="str">
        <f>'12 ЦАЛ'!H104</f>
        <v>0330</v>
      </c>
      <c r="F124" s="637"/>
      <c r="G124" s="636"/>
      <c r="H124" s="637"/>
      <c r="I124" s="634"/>
      <c r="J124" s="635"/>
      <c r="L124" s="637">
        <f>'12 ЦАЛ'!I51</f>
        <v>5.28E-3</v>
      </c>
      <c r="M124" s="636">
        <f>'12 ЦАЛ'!J51</f>
        <v>4.1599999999999998E-2</v>
      </c>
      <c r="N124" s="637">
        <f>'12 ЦАЛ'!I104</f>
        <v>5.28E-3</v>
      </c>
      <c r="O124" s="636">
        <f>'12 ЦАЛ'!J104</f>
        <v>0.16650000000000001</v>
      </c>
    </row>
    <row r="125" spans="2:15" ht="15" customHeight="1" x14ac:dyDescent="0.25">
      <c r="B125" s="1011"/>
      <c r="C125" s="528"/>
      <c r="D125" s="633" t="str">
        <f>'12 ЦАЛ'!G105</f>
        <v>Оксид меди</v>
      </c>
      <c r="E125" s="638" t="str">
        <f>'12 ЦАЛ'!H105</f>
        <v>0146</v>
      </c>
      <c r="F125" s="637"/>
      <c r="G125" s="636"/>
      <c r="H125" s="637"/>
      <c r="I125" s="634"/>
      <c r="J125" s="635"/>
      <c r="L125" s="637">
        <f>'12 ЦАЛ'!I52</f>
        <v>6.3299999999999997E-3</v>
      </c>
      <c r="M125" s="636">
        <f>'12 ЦАЛ'!J52</f>
        <v>4.99E-2</v>
      </c>
      <c r="N125" s="637">
        <f>'12 ЦАЛ'!I105</f>
        <v>6.3299999999999997E-3</v>
      </c>
      <c r="O125" s="636">
        <f>'12 ЦАЛ'!J105</f>
        <v>0.1996</v>
      </c>
    </row>
    <row r="126" spans="2:15" ht="15" customHeight="1" x14ac:dyDescent="0.25">
      <c r="B126" s="1011"/>
      <c r="C126" s="528"/>
      <c r="D126" s="640" t="str">
        <f>'12 ЦАЛ'!G106</f>
        <v>Свинец и его неорганические соединения</v>
      </c>
      <c r="E126" s="645" t="str">
        <f>'12 ЦАЛ'!H106</f>
        <v>0184</v>
      </c>
      <c r="F126" s="644"/>
      <c r="G126" s="643"/>
      <c r="H126" s="644"/>
      <c r="I126" s="641"/>
      <c r="J126" s="642"/>
      <c r="K126" s="661"/>
      <c r="L126" s="644">
        <f>'12 ЦАЛ'!I53</f>
        <v>3.2000000000000003E-4</v>
      </c>
      <c r="M126" s="643">
        <f>'12 ЦАЛ'!J53</f>
        <v>2.5000000000000001E-3</v>
      </c>
      <c r="N126" s="644">
        <f>'12 ЦАЛ'!I106</f>
        <v>3.2000000000000003E-4</v>
      </c>
      <c r="O126" s="643">
        <f>'12 ЦАЛ'!J106</f>
        <v>1.01E-2</v>
      </c>
    </row>
    <row r="127" spans="2:15" ht="14.25" customHeight="1" x14ac:dyDescent="0.25">
      <c r="B127" s="1011"/>
      <c r="C127" s="525" t="s">
        <v>456</v>
      </c>
      <c r="D127" s="626"/>
      <c r="E127" s="631"/>
      <c r="F127" s="630"/>
      <c r="G127" s="629"/>
      <c r="H127" s="630"/>
      <c r="I127" s="627"/>
      <c r="J127" s="628"/>
      <c r="K127" s="659"/>
      <c r="L127" s="630"/>
      <c r="M127" s="629"/>
      <c r="N127" s="630"/>
      <c r="O127" s="629"/>
    </row>
    <row r="128" spans="2:15" ht="15" customHeight="1" x14ac:dyDescent="0.25">
      <c r="B128" s="1011"/>
      <c r="C128" s="528"/>
      <c r="D128" s="633" t="str">
        <f>'12 ЦАЛ'!G107</f>
        <v>Диоксид серы</v>
      </c>
      <c r="E128" s="638" t="str">
        <f>'12 ЦАЛ'!H107</f>
        <v>0330</v>
      </c>
      <c r="F128" s="637"/>
      <c r="G128" s="636"/>
      <c r="H128" s="637"/>
      <c r="I128" s="634"/>
      <c r="J128" s="635"/>
      <c r="L128" s="637">
        <f>'12 ЦАЛ'!I54</f>
        <v>5.28E-3</v>
      </c>
      <c r="M128" s="636">
        <f>'12 ЦАЛ'!J54</f>
        <v>4.1599999999999998E-2</v>
      </c>
      <c r="N128" s="637">
        <f>'12 ЦАЛ'!I107</f>
        <v>5.28E-3</v>
      </c>
      <c r="O128" s="636">
        <f>'12 ЦАЛ'!J107</f>
        <v>0.16650000000000001</v>
      </c>
    </row>
    <row r="129" spans="2:15" ht="15" customHeight="1" x14ac:dyDescent="0.25">
      <c r="B129" s="1011"/>
      <c r="C129" s="528"/>
      <c r="D129" s="633" t="str">
        <f>'12 ЦАЛ'!G108</f>
        <v>Оксид меди</v>
      </c>
      <c r="E129" s="638" t="str">
        <f>'12 ЦАЛ'!H108</f>
        <v>0146</v>
      </c>
      <c r="F129" s="637"/>
      <c r="G129" s="636"/>
      <c r="H129" s="637"/>
      <c r="I129" s="634"/>
      <c r="J129" s="635"/>
      <c r="L129" s="637">
        <f>'12 ЦАЛ'!I55</f>
        <v>4.7499999999999999E-3</v>
      </c>
      <c r="M129" s="636">
        <f>'12 ЦАЛ'!J55</f>
        <v>3.7400000000000003E-2</v>
      </c>
      <c r="N129" s="637">
        <f>'12 ЦАЛ'!I108</f>
        <v>4.7499999999999999E-3</v>
      </c>
      <c r="O129" s="636">
        <f>'12 ЦАЛ'!J108</f>
        <v>0.14979999999999999</v>
      </c>
    </row>
    <row r="130" spans="2:15" ht="15" customHeight="1" x14ac:dyDescent="0.25">
      <c r="B130" s="1011"/>
      <c r="C130" s="528"/>
      <c r="D130" s="640" t="str">
        <f>'12 ЦАЛ'!G109</f>
        <v>Свинец и его неорганические соединения</v>
      </c>
      <c r="E130" s="645" t="str">
        <f>'12 ЦАЛ'!H109</f>
        <v>0184</v>
      </c>
      <c r="F130" s="644"/>
      <c r="G130" s="643"/>
      <c r="H130" s="644"/>
      <c r="I130" s="641"/>
      <c r="J130" s="642"/>
      <c r="K130" s="661"/>
      <c r="L130" s="644">
        <f>'12 ЦАЛ'!I56</f>
        <v>1.6000000000000001E-4</v>
      </c>
      <c r="M130" s="643">
        <f>'12 ЦАЛ'!J56</f>
        <v>1.2999999999999999E-3</v>
      </c>
      <c r="N130" s="644">
        <f>'12 ЦАЛ'!I109</f>
        <v>1.6000000000000001E-4</v>
      </c>
      <c r="O130" s="643">
        <f>'12 ЦАЛ'!J109</f>
        <v>5.0000000000000001E-3</v>
      </c>
    </row>
    <row r="131" spans="2:15" ht="14.25" customHeight="1" x14ac:dyDescent="0.25">
      <c r="B131" s="1011"/>
      <c r="C131" s="525" t="s">
        <v>459</v>
      </c>
      <c r="D131" s="626" t="str">
        <f>'12 ЦАЛ'!G110</f>
        <v xml:space="preserve">Углерод оксид </v>
      </c>
      <c r="E131" s="631" t="str">
        <f>'12 ЦАЛ'!H110</f>
        <v>0337</v>
      </c>
      <c r="F131" s="630"/>
      <c r="G131" s="629"/>
      <c r="H131" s="630"/>
      <c r="I131" s="627"/>
      <c r="J131" s="628"/>
      <c r="K131" s="659"/>
      <c r="L131" s="630">
        <f>'12 ЦАЛ'!I57</f>
        <v>7.9000000000000001E-4</v>
      </c>
      <c r="M131" s="629">
        <f>'12 ЦАЛ'!J57</f>
        <v>6.1999999999999998E-3</v>
      </c>
      <c r="N131" s="630">
        <f>'12 ЦАЛ'!I110</f>
        <v>7.9000000000000001E-4</v>
      </c>
      <c r="O131" s="629">
        <f>'12 ЦАЛ'!J110</f>
        <v>2.4899999999999999E-2</v>
      </c>
    </row>
    <row r="132" spans="2:15" ht="15" customHeight="1" x14ac:dyDescent="0.25">
      <c r="B132" s="1011"/>
      <c r="C132" s="528"/>
      <c r="D132" s="633" t="str">
        <f>'12 ЦАЛ'!G111</f>
        <v>Диоксид азота</v>
      </c>
      <c r="E132" s="638" t="str">
        <f>'12 ЦАЛ'!H111</f>
        <v>0301</v>
      </c>
      <c r="F132" s="637"/>
      <c r="G132" s="636"/>
      <c r="H132" s="637"/>
      <c r="I132" s="634"/>
      <c r="J132" s="635"/>
      <c r="L132" s="637">
        <f>'12 ЦАЛ'!I58</f>
        <v>1.25E-3</v>
      </c>
      <c r="M132" s="636">
        <f>'12 ЦАЛ'!J58</f>
        <v>9.9000000000000008E-3</v>
      </c>
      <c r="N132" s="637">
        <f>'12 ЦАЛ'!I111</f>
        <v>1.25E-3</v>
      </c>
      <c r="O132" s="636">
        <f>'12 ЦАЛ'!J111</f>
        <v>3.9399999999999998E-2</v>
      </c>
    </row>
    <row r="133" spans="2:15" ht="15" customHeight="1" x14ac:dyDescent="0.25">
      <c r="B133" s="1011"/>
      <c r="C133" s="528"/>
      <c r="D133" s="633" t="str">
        <f>'12 ЦАЛ'!G112</f>
        <v>Оксид азота</v>
      </c>
      <c r="E133" s="638" t="str">
        <f>'12 ЦАЛ'!H112</f>
        <v>0304</v>
      </c>
      <c r="F133" s="637"/>
      <c r="G133" s="636"/>
      <c r="H133" s="637"/>
      <c r="I133" s="634"/>
      <c r="J133" s="635"/>
      <c r="L133" s="637">
        <f>'12 ЦАЛ'!I59</f>
        <v>2.64E-3</v>
      </c>
      <c r="M133" s="636">
        <f>'12 ЦАЛ'!J59</f>
        <v>2.0799999999999999E-2</v>
      </c>
      <c r="N133" s="637">
        <f>'12 ЦАЛ'!I112</f>
        <v>2.64E-3</v>
      </c>
      <c r="O133" s="636">
        <f>'12 ЦАЛ'!J112</f>
        <v>8.3299999999999999E-2</v>
      </c>
    </row>
    <row r="134" spans="2:15" ht="15" customHeight="1" x14ac:dyDescent="0.25">
      <c r="B134" s="1011"/>
      <c r="C134" s="528"/>
      <c r="D134" s="633" t="str">
        <f>'12 ЦАЛ'!G113</f>
        <v>Азотная кислота</v>
      </c>
      <c r="E134" s="638" t="str">
        <f>'12 ЦАЛ'!H113</f>
        <v>0302</v>
      </c>
      <c r="F134" s="637"/>
      <c r="G134" s="636"/>
      <c r="H134" s="637"/>
      <c r="I134" s="634"/>
      <c r="J134" s="635"/>
      <c r="L134" s="637">
        <f>'12 ЦАЛ'!I60</f>
        <v>3.9500000000000001E-4</v>
      </c>
      <c r="M134" s="636">
        <f>'12 ЦАЛ'!J60</f>
        <v>3.1099999999999999E-3</v>
      </c>
      <c r="N134" s="637">
        <f>'12 ЦАЛ'!I113</f>
        <v>3.9500000000000001E-4</v>
      </c>
      <c r="O134" s="636">
        <f>'12 ЦАЛ'!J113</f>
        <v>1.2460000000000001E-2</v>
      </c>
    </row>
    <row r="135" spans="2:15" ht="15" customHeight="1" x14ac:dyDescent="0.25">
      <c r="B135" s="1011"/>
      <c r="C135" s="528"/>
      <c r="D135" s="640" t="str">
        <f>'12 ЦАЛ'!G114</f>
        <v>Соляная кислота</v>
      </c>
      <c r="E135" s="645" t="str">
        <f>'12 ЦАЛ'!H114</f>
        <v>0316</v>
      </c>
      <c r="F135" s="644"/>
      <c r="G135" s="643"/>
      <c r="H135" s="644"/>
      <c r="I135" s="641"/>
      <c r="J135" s="642"/>
      <c r="K135" s="661"/>
      <c r="L135" s="644">
        <f>'12 ЦАЛ'!I61</f>
        <v>3.9500000000000001E-4</v>
      </c>
      <c r="M135" s="643">
        <f>'12 ЦАЛ'!J61</f>
        <v>3.1099999999999999E-3</v>
      </c>
      <c r="N135" s="644">
        <f>'12 ЦАЛ'!I114</f>
        <v>3.9500000000000001E-4</v>
      </c>
      <c r="O135" s="643">
        <f>'12 ЦАЛ'!J114</f>
        <v>1.2460000000000001E-2</v>
      </c>
    </row>
    <row r="136" spans="2:15" ht="14.25" customHeight="1" x14ac:dyDescent="0.25">
      <c r="B136" s="1011"/>
      <c r="C136" s="525" t="s">
        <v>462</v>
      </c>
      <c r="D136" s="626" t="str">
        <f>'12 ЦАЛ'!G115</f>
        <v xml:space="preserve">Углерод оксид </v>
      </c>
      <c r="E136" s="631" t="str">
        <f>'12 ЦАЛ'!H115</f>
        <v>0337</v>
      </c>
      <c r="F136" s="630"/>
      <c r="G136" s="629"/>
      <c r="H136" s="630"/>
      <c r="I136" s="627"/>
      <c r="J136" s="628"/>
      <c r="K136" s="659"/>
      <c r="L136" s="630">
        <f>'12 ЦАЛ'!I62</f>
        <v>8.4000000000000003E-4</v>
      </c>
      <c r="M136" s="629">
        <f>'12 ЦАЛ'!J62</f>
        <v>6.6E-3</v>
      </c>
      <c r="N136" s="630">
        <f>'12 ЦАЛ'!I115</f>
        <v>8.4000000000000003E-4</v>
      </c>
      <c r="O136" s="629">
        <f>'12 ЦАЛ'!J115</f>
        <v>2.6499999999999999E-2</v>
      </c>
    </row>
    <row r="137" spans="2:15" ht="15" customHeight="1" x14ac:dyDescent="0.25">
      <c r="B137" s="1011"/>
      <c r="C137" s="528"/>
      <c r="D137" s="633" t="str">
        <f>'12 ЦАЛ'!G116</f>
        <v>Диоксид азота</v>
      </c>
      <c r="E137" s="638" t="str">
        <f>'12 ЦАЛ'!H116</f>
        <v>0301</v>
      </c>
      <c r="F137" s="637"/>
      <c r="G137" s="636"/>
      <c r="H137" s="637"/>
      <c r="I137" s="634"/>
      <c r="J137" s="635"/>
      <c r="L137" s="637">
        <f>'12 ЦАЛ'!I63</f>
        <v>4.3600000000000002E-3</v>
      </c>
      <c r="M137" s="636">
        <f>'12 ЦАЛ'!J63</f>
        <v>3.44E-2</v>
      </c>
      <c r="N137" s="637">
        <f>'12 ЦАЛ'!I116</f>
        <v>4.3600000000000002E-3</v>
      </c>
      <c r="O137" s="636">
        <f>'12 ЦАЛ'!J116</f>
        <v>0.13750000000000001</v>
      </c>
    </row>
    <row r="138" spans="2:15" ht="16.5" customHeight="1" x14ac:dyDescent="0.25">
      <c r="B138" s="1011"/>
      <c r="C138" s="528"/>
      <c r="D138" s="633" t="str">
        <f>'12 ЦАЛ'!G117</f>
        <v>Оксид азота</v>
      </c>
      <c r="E138" s="638" t="str">
        <f>'12 ЦАЛ'!H117</f>
        <v>0304</v>
      </c>
      <c r="F138" s="637"/>
      <c r="G138" s="636"/>
      <c r="H138" s="637"/>
      <c r="I138" s="634"/>
      <c r="J138" s="635"/>
      <c r="L138" s="637">
        <f>'12 ЦАЛ'!I64</f>
        <v>4.0899999999999999E-3</v>
      </c>
      <c r="M138" s="636">
        <f>'12 ЦАЛ'!J64</f>
        <v>3.2199999999999999E-2</v>
      </c>
      <c r="N138" s="637">
        <f>'12 ЦАЛ'!I117</f>
        <v>4.0899999999999999E-3</v>
      </c>
      <c r="O138" s="636">
        <f>'12 ЦАЛ'!J117</f>
        <v>0.129</v>
      </c>
    </row>
    <row r="139" spans="2:15" ht="15" customHeight="1" x14ac:dyDescent="0.25">
      <c r="B139" s="1011"/>
      <c r="C139" s="528"/>
      <c r="D139" s="633" t="str">
        <f>'12 ЦАЛ'!G118</f>
        <v>Соляная кислота</v>
      </c>
      <c r="E139" s="638" t="str">
        <f>'12 ЦАЛ'!H118</f>
        <v>0316</v>
      </c>
      <c r="F139" s="637"/>
      <c r="G139" s="636"/>
      <c r="H139" s="637"/>
      <c r="I139" s="634"/>
      <c r="J139" s="635"/>
      <c r="L139" s="637">
        <f>'12 ЦАЛ'!I65</f>
        <v>2.1649999999999998E-3</v>
      </c>
      <c r="M139" s="636">
        <f>'12 ЦАЛ'!J65</f>
        <v>1.7069999999999998E-2</v>
      </c>
      <c r="N139" s="637">
        <f>'12 ЦАЛ'!I118</f>
        <v>2.1649999999999998E-3</v>
      </c>
      <c r="O139" s="636">
        <f>'12 ЦАЛ'!J118</f>
        <v>6.8279999999999993E-2</v>
      </c>
    </row>
    <row r="140" spans="2:15" ht="15" customHeight="1" x14ac:dyDescent="0.25">
      <c r="B140" s="1011"/>
      <c r="C140" s="528"/>
      <c r="D140" s="633" t="str">
        <f>'12 ЦАЛ'!G119</f>
        <v>Азотная кислота</v>
      </c>
      <c r="E140" s="638" t="str">
        <f>'12 ЦАЛ'!H119</f>
        <v>0302</v>
      </c>
      <c r="F140" s="637"/>
      <c r="G140" s="636"/>
      <c r="H140" s="637"/>
      <c r="I140" s="634"/>
      <c r="J140" s="635"/>
      <c r="L140" s="637">
        <f>'12 ЦАЛ'!I66</f>
        <v>1.9550000000000001E-3</v>
      </c>
      <c r="M140" s="636">
        <f>'12 ЦАЛ'!J66</f>
        <v>1.54E-2</v>
      </c>
      <c r="N140" s="637">
        <f>'12 ЦАЛ'!I119</f>
        <v>1.9550000000000001E-3</v>
      </c>
      <c r="O140" s="636">
        <f>'12 ЦАЛ'!J119</f>
        <v>6.1699999999999998E-2</v>
      </c>
    </row>
    <row r="141" spans="2:15" ht="15" customHeight="1" x14ac:dyDescent="0.25">
      <c r="B141" s="1011"/>
      <c r="C141" s="528"/>
      <c r="D141" s="640" t="str">
        <f>'12 ЦАЛ'!G120</f>
        <v>Хлор</v>
      </c>
      <c r="E141" s="645" t="str">
        <f>'12 ЦАЛ'!H120</f>
        <v>0349</v>
      </c>
      <c r="F141" s="644"/>
      <c r="G141" s="643"/>
      <c r="H141" s="644"/>
      <c r="I141" s="641"/>
      <c r="J141" s="642"/>
      <c r="K141" s="661"/>
      <c r="L141" s="644">
        <f>'12 ЦАЛ'!I67</f>
        <v>6.9999999999999994E-5</v>
      </c>
      <c r="M141" s="643">
        <f>'12 ЦАЛ'!J67</f>
        <v>5.9999999999999995E-4</v>
      </c>
      <c r="N141" s="644">
        <f>'12 ЦАЛ'!I120</f>
        <v>6.9999999999999994E-5</v>
      </c>
      <c r="O141" s="643">
        <f>'12 ЦАЛ'!J120</f>
        <v>2.2000000000000001E-3</v>
      </c>
    </row>
    <row r="142" spans="2:15" ht="14.25" customHeight="1" x14ac:dyDescent="0.25">
      <c r="B142" s="1011"/>
      <c r="C142" s="525" t="s">
        <v>465</v>
      </c>
      <c r="D142" s="626" t="str">
        <f>'12 ЦАЛ'!G121</f>
        <v>Азотная кислота</v>
      </c>
      <c r="E142" s="631" t="str">
        <f>'12 ЦАЛ'!H121</f>
        <v>0302</v>
      </c>
      <c r="F142" s="630"/>
      <c r="G142" s="629"/>
      <c r="H142" s="630"/>
      <c r="I142" s="627"/>
      <c r="J142" s="628"/>
      <c r="K142" s="659"/>
      <c r="L142" s="630">
        <f>'12 ЦАЛ'!I68</f>
        <v>1.32E-3</v>
      </c>
      <c r="M142" s="629">
        <f>'12 ЦАЛ'!J68</f>
        <v>1.04E-2</v>
      </c>
      <c r="N142" s="630">
        <f>'12 ЦАЛ'!I121</f>
        <v>1.32E-3</v>
      </c>
      <c r="O142" s="629">
        <f>'12 ЦАЛ'!J121</f>
        <v>4.1599999999999998E-2</v>
      </c>
    </row>
    <row r="143" spans="2:15" ht="15" customHeight="1" x14ac:dyDescent="0.25">
      <c r="B143" s="1013"/>
      <c r="C143" s="528"/>
      <c r="D143" s="633" t="str">
        <f>'12 ЦАЛ'!G122</f>
        <v>Соляная кислота</v>
      </c>
      <c r="E143" s="638" t="str">
        <f>'12 ЦАЛ'!H122</f>
        <v>0316</v>
      </c>
      <c r="F143" s="637"/>
      <c r="G143" s="636"/>
      <c r="H143" s="637"/>
      <c r="I143" s="634"/>
      <c r="J143" s="635"/>
      <c r="L143" s="637">
        <f>'12 ЦАЛ'!I69</f>
        <v>2.64E-3</v>
      </c>
      <c r="M143" s="636">
        <f>'12 ЦАЛ'!J69</f>
        <v>2.0799999999999999E-2</v>
      </c>
      <c r="N143" s="637">
        <f>'12 ЦАЛ'!I122</f>
        <v>2.64E-3</v>
      </c>
      <c r="O143" s="636">
        <f>'12 ЦАЛ'!J122</f>
        <v>8.3299999999999999E-2</v>
      </c>
    </row>
    <row r="144" spans="2:15" ht="19.5" customHeight="1" x14ac:dyDescent="0.25">
      <c r="B144" s="1010" t="s">
        <v>499</v>
      </c>
      <c r="C144" s="525" t="s">
        <v>467</v>
      </c>
      <c r="D144" s="626" t="str">
        <f>'14ГМЦ+Насосная УОП'!G47</f>
        <v>Серная кислота</v>
      </c>
      <c r="E144" s="627" t="str">
        <f>'14ГМЦ+Насосная УОП'!H47</f>
        <v>0322</v>
      </c>
      <c r="F144" s="630"/>
      <c r="G144" s="629"/>
      <c r="H144" s="630"/>
      <c r="I144" s="627"/>
      <c r="J144" s="628"/>
      <c r="K144" s="659"/>
      <c r="L144" s="630">
        <f>'14ГМЦ+Насосная УОП'!I20</f>
        <v>4.0000000000000003E-5</v>
      </c>
      <c r="M144" s="629">
        <f>'14ГМЦ+Насосная УОП'!J20</f>
        <v>3.2000000000000003E-4</v>
      </c>
      <c r="N144" s="630">
        <f>'14ГМЦ+Насосная УОП'!I47</f>
        <v>4.0000000000000003E-5</v>
      </c>
      <c r="O144" s="629">
        <f>'14ГМЦ+Насосная УОП'!J47</f>
        <v>1.2600000000000001E-3</v>
      </c>
    </row>
    <row r="145" spans="2:15" ht="19.5" customHeight="1" x14ac:dyDescent="0.25">
      <c r="B145" s="1011"/>
      <c r="C145" s="525" t="s">
        <v>470</v>
      </c>
      <c r="D145" s="626" t="str">
        <f>'14ГМЦ+Насосная УОП'!G48</f>
        <v>Серная кислота</v>
      </c>
      <c r="E145" s="627" t="str">
        <f>'14ГМЦ+Насосная УОП'!H48</f>
        <v>0322</v>
      </c>
      <c r="F145" s="630"/>
      <c r="G145" s="629"/>
      <c r="H145" s="630"/>
      <c r="I145" s="627"/>
      <c r="J145" s="628"/>
      <c r="K145" s="659"/>
      <c r="L145" s="630">
        <f>'14ГМЦ+Насосная УОП'!I21</f>
        <v>2.0000000000000002E-5</v>
      </c>
      <c r="M145" s="629">
        <f>'14ГМЦ+Насосная УОП'!J21</f>
        <v>1.6000000000000001E-4</v>
      </c>
      <c r="N145" s="630">
        <f>'14ГМЦ+Насосная УОП'!I48</f>
        <v>2.0000000000000002E-5</v>
      </c>
      <c r="O145" s="629">
        <f>'14ГМЦ+Насосная УОП'!J48</f>
        <v>6.3000000000000003E-4</v>
      </c>
    </row>
    <row r="146" spans="2:15" ht="19.5" customHeight="1" x14ac:dyDescent="0.25">
      <c r="B146" s="1011"/>
      <c r="C146" s="525" t="s">
        <v>472</v>
      </c>
      <c r="D146" s="626" t="str">
        <f>'14ГМЦ+Насосная УОП'!G49</f>
        <v>Серная кислота</v>
      </c>
      <c r="E146" s="627" t="str">
        <f>'14ГМЦ+Насосная УОП'!H49</f>
        <v>0322</v>
      </c>
      <c r="F146" s="630"/>
      <c r="G146" s="629"/>
      <c r="H146" s="630"/>
      <c r="I146" s="627"/>
      <c r="J146" s="628"/>
      <c r="K146" s="659"/>
      <c r="L146" s="630">
        <f>'14ГМЦ+Насосная УОП'!I22</f>
        <v>2.0000000000000002E-5</v>
      </c>
      <c r="M146" s="629">
        <f>'14ГМЦ+Насосная УОП'!J22</f>
        <v>1.6000000000000001E-4</v>
      </c>
      <c r="N146" s="630">
        <f>'14ГМЦ+Насосная УОП'!I49</f>
        <v>2.0000000000000002E-5</v>
      </c>
      <c r="O146" s="629">
        <f>'14ГМЦ+Насосная УОП'!J49</f>
        <v>6.3000000000000003E-4</v>
      </c>
    </row>
    <row r="147" spans="2:15" ht="19.5" customHeight="1" x14ac:dyDescent="0.25">
      <c r="B147" s="1011"/>
      <c r="C147" s="525" t="s">
        <v>475</v>
      </c>
      <c r="D147" s="626" t="str">
        <f>'14ГМЦ+Насосная УОП'!G50</f>
        <v>Серная кислота</v>
      </c>
      <c r="E147" s="627" t="str">
        <f>'14ГМЦ+Насосная УОП'!H50</f>
        <v>0322</v>
      </c>
      <c r="F147" s="630"/>
      <c r="G147" s="629"/>
      <c r="H147" s="630"/>
      <c r="I147" s="627"/>
      <c r="J147" s="628"/>
      <c r="K147" s="659"/>
      <c r="L147" s="630">
        <f>'14ГМЦ+Насосная УОП'!I23</f>
        <v>2.0000000000000002E-5</v>
      </c>
      <c r="M147" s="629">
        <f>'14ГМЦ+Насосная УОП'!J23</f>
        <v>1.6000000000000001E-4</v>
      </c>
      <c r="N147" s="630">
        <f>'14ГМЦ+Насосная УОП'!I50</f>
        <v>2.0000000000000002E-5</v>
      </c>
      <c r="O147" s="629">
        <f>'14ГМЦ+Насосная УОП'!J50</f>
        <v>6.3000000000000003E-4</v>
      </c>
    </row>
    <row r="148" spans="2:15" ht="19.5" customHeight="1" x14ac:dyDescent="0.25">
      <c r="B148" s="1011"/>
      <c r="C148" s="525" t="s">
        <v>483</v>
      </c>
      <c r="D148" s="626" t="str">
        <f>'14ГМЦ+Насосная УОП'!G51</f>
        <v>Серная кислота</v>
      </c>
      <c r="E148" s="627" t="str">
        <f>'14ГМЦ+Насосная УОП'!H51</f>
        <v>0322</v>
      </c>
      <c r="F148" s="630"/>
      <c r="G148" s="629"/>
      <c r="H148" s="630"/>
      <c r="I148" s="627"/>
      <c r="J148" s="628"/>
      <c r="K148" s="659"/>
      <c r="L148" s="630">
        <f>'14ГМЦ+Насосная УОП'!I24</f>
        <v>1.0000000000000001E-5</v>
      </c>
      <c r="M148" s="629">
        <f>'14ГМЦ+Насосная УОП'!J24</f>
        <v>4.0000000000000003E-5</v>
      </c>
      <c r="N148" s="630">
        <f>'14ГМЦ+Насосная УОП'!I51</f>
        <v>1.0000000000000001E-5</v>
      </c>
      <c r="O148" s="629">
        <f>'14ГМЦ+Насосная УОП'!J51</f>
        <v>1.4999999999999999E-4</v>
      </c>
    </row>
    <row r="149" spans="2:15" ht="19.5" customHeight="1" x14ac:dyDescent="0.25">
      <c r="B149" s="1011"/>
      <c r="C149" s="525" t="s">
        <v>500</v>
      </c>
      <c r="D149" s="626" t="str">
        <f>'14ГМЦ+Насосная УОП'!G52</f>
        <v>Серная кислота</v>
      </c>
      <c r="E149" s="627" t="str">
        <f>'14ГМЦ+Насосная УОП'!H52</f>
        <v>0322</v>
      </c>
      <c r="F149" s="630"/>
      <c r="G149" s="629"/>
      <c r="H149" s="630"/>
      <c r="I149" s="627"/>
      <c r="J149" s="628"/>
      <c r="K149" s="659"/>
      <c r="L149" s="630">
        <f>'14ГМЦ+Насосная УОП'!I25</f>
        <v>1.0000000000000001E-5</v>
      </c>
      <c r="M149" s="629">
        <f>'14ГМЦ+Насосная УОП'!J25</f>
        <v>4.0000000000000003E-5</v>
      </c>
      <c r="N149" s="630">
        <f>'14ГМЦ+Насосная УОП'!I52</f>
        <v>1.0000000000000001E-5</v>
      </c>
      <c r="O149" s="629">
        <f>'14ГМЦ+Насосная УОП'!J52</f>
        <v>1.4999999999999999E-4</v>
      </c>
    </row>
    <row r="150" spans="2:15" ht="19.5" customHeight="1" x14ac:dyDescent="0.25">
      <c r="B150" s="1011"/>
      <c r="C150" s="525" t="s">
        <v>501</v>
      </c>
      <c r="D150" s="626" t="str">
        <f>'14ГМЦ+Насосная УОП'!G53</f>
        <v>Серная кислота</v>
      </c>
      <c r="E150" s="627" t="str">
        <f>'14ГМЦ+Насосная УОП'!H53</f>
        <v>0322</v>
      </c>
      <c r="F150" s="630"/>
      <c r="G150" s="629"/>
      <c r="H150" s="630"/>
      <c r="I150" s="627"/>
      <c r="J150" s="628"/>
      <c r="K150" s="659"/>
      <c r="L150" s="630">
        <f>'14ГМЦ+Насосная УОП'!I26</f>
        <v>1.0000000000000001E-5</v>
      </c>
      <c r="M150" s="629">
        <f>'14ГМЦ+Насосная УОП'!J26</f>
        <v>4.0000000000000003E-5</v>
      </c>
      <c r="N150" s="630">
        <f>'14ГМЦ+Насосная УОП'!I53</f>
        <v>1.0000000000000001E-5</v>
      </c>
      <c r="O150" s="629">
        <f>'14ГМЦ+Насосная УОП'!J53</f>
        <v>1.4999999999999999E-4</v>
      </c>
    </row>
    <row r="151" spans="2:15" ht="19.5" customHeight="1" x14ac:dyDescent="0.25">
      <c r="B151" s="1011"/>
      <c r="C151" s="525" t="s">
        <v>503</v>
      </c>
      <c r="D151" s="626" t="str">
        <f>'14ГМЦ+Насосная УОП'!G54</f>
        <v>Серная кислота</v>
      </c>
      <c r="E151" s="627" t="str">
        <f>'14ГМЦ+Насосная УОП'!H54</f>
        <v>0322</v>
      </c>
      <c r="F151" s="630"/>
      <c r="G151" s="629"/>
      <c r="H151" s="630"/>
      <c r="I151" s="627"/>
      <c r="J151" s="628"/>
      <c r="K151" s="659"/>
      <c r="L151" s="630">
        <f>'14ГМЦ+Насосная УОП'!I27</f>
        <v>1.0000000000000001E-5</v>
      </c>
      <c r="M151" s="629">
        <f>'14ГМЦ+Насосная УОП'!J27</f>
        <v>4.0000000000000003E-5</v>
      </c>
      <c r="N151" s="630">
        <f>'14ГМЦ+Насосная УОП'!I54</f>
        <v>1.0000000000000001E-5</v>
      </c>
      <c r="O151" s="629">
        <f>'14ГМЦ+Насосная УОП'!J54</f>
        <v>1.4999999999999999E-4</v>
      </c>
    </row>
    <row r="152" spans="2:15" ht="19.5" customHeight="1" x14ac:dyDescent="0.25">
      <c r="B152" s="1011"/>
      <c r="C152" s="525" t="s">
        <v>505</v>
      </c>
      <c r="D152" s="626" t="str">
        <f>'14ГМЦ+Насосная УОП'!G55</f>
        <v>Серная кислота</v>
      </c>
      <c r="E152" s="627" t="str">
        <f>'14ГМЦ+Насосная УОП'!H55</f>
        <v>0322</v>
      </c>
      <c r="F152" s="630"/>
      <c r="G152" s="629"/>
      <c r="H152" s="630"/>
      <c r="I152" s="627"/>
      <c r="J152" s="628"/>
      <c r="K152" s="659"/>
      <c r="L152" s="630">
        <f>'14ГМЦ+Насосная УОП'!I28</f>
        <v>1.0000000000000001E-5</v>
      </c>
      <c r="M152" s="629">
        <f>'14ГМЦ+Насосная УОП'!J28</f>
        <v>4.0000000000000003E-5</v>
      </c>
      <c r="N152" s="630">
        <f>'14ГМЦ+Насосная УОП'!I55</f>
        <v>1.0000000000000001E-5</v>
      </c>
      <c r="O152" s="629">
        <f>'14ГМЦ+Насосная УОП'!J55</f>
        <v>1.4999999999999999E-4</v>
      </c>
    </row>
    <row r="153" spans="2:15" ht="19.5" customHeight="1" x14ac:dyDescent="0.25">
      <c r="B153" s="1011"/>
      <c r="C153" s="525" t="s">
        <v>509</v>
      </c>
      <c r="D153" s="626" t="str">
        <f>'14ГМЦ+Насосная УОП'!G56</f>
        <v>Серная кислота</v>
      </c>
      <c r="E153" s="627" t="str">
        <f>'14ГМЦ+Насосная УОП'!H56</f>
        <v>0322</v>
      </c>
      <c r="F153" s="630"/>
      <c r="G153" s="629"/>
      <c r="H153" s="630"/>
      <c r="I153" s="627"/>
      <c r="J153" s="628"/>
      <c r="K153" s="659"/>
      <c r="L153" s="630">
        <f>'14ГМЦ+Насосная УОП'!I29</f>
        <v>1.0000000000000001E-5</v>
      </c>
      <c r="M153" s="629">
        <f>'14ГМЦ+Насосная УОП'!J29</f>
        <v>4.0000000000000003E-5</v>
      </c>
      <c r="N153" s="630">
        <f>'14ГМЦ+Насосная УОП'!I56</f>
        <v>1.0000000000000001E-5</v>
      </c>
      <c r="O153" s="629">
        <f>'14ГМЦ+Насосная УОП'!J56</f>
        <v>1.4999999999999999E-4</v>
      </c>
    </row>
    <row r="154" spans="2:15" ht="19.5" customHeight="1" x14ac:dyDescent="0.25">
      <c r="B154" s="1011"/>
      <c r="C154" s="525" t="s">
        <v>511</v>
      </c>
      <c r="D154" s="626" t="str">
        <f>'14ГМЦ+Насосная УОП'!G57</f>
        <v>Серная кислота</v>
      </c>
      <c r="E154" s="627" t="str">
        <f>'14ГМЦ+Насосная УОП'!H57</f>
        <v>0322</v>
      </c>
      <c r="F154" s="630"/>
      <c r="G154" s="629"/>
      <c r="H154" s="630"/>
      <c r="I154" s="627"/>
      <c r="J154" s="628"/>
      <c r="K154" s="659"/>
      <c r="L154" s="630">
        <f>'14ГМЦ+Насосная УОП'!I30</f>
        <v>1E-3</v>
      </c>
      <c r="M154" s="629">
        <f>'14ГМЦ+Насосная УОП'!J30</f>
        <v>7.8799999999999999E-3</v>
      </c>
      <c r="N154" s="630">
        <f>'14ГМЦ+Насосная УОП'!I57</f>
        <v>1E-3</v>
      </c>
      <c r="O154" s="629">
        <f>'14ГМЦ+Насосная УОП'!J57</f>
        <v>3.1539999999999999E-2</v>
      </c>
    </row>
    <row r="155" spans="2:15" ht="19.5" customHeight="1" x14ac:dyDescent="0.25">
      <c r="B155" s="1011"/>
      <c r="C155" s="525" t="s">
        <v>514</v>
      </c>
      <c r="D155" s="626" t="str">
        <f>'14ГМЦ+Насосная УОП'!G58</f>
        <v>Серная кислота</v>
      </c>
      <c r="E155" s="627" t="str">
        <f>'14ГМЦ+Насосная УОП'!H58</f>
        <v>0322</v>
      </c>
      <c r="F155" s="630"/>
      <c r="G155" s="629"/>
      <c r="H155" s="630"/>
      <c r="I155" s="627"/>
      <c r="J155" s="628"/>
      <c r="K155" s="659"/>
      <c r="L155" s="630">
        <f>'14ГМЦ+Насосная УОП'!I31</f>
        <v>1.01E-3</v>
      </c>
      <c r="M155" s="629">
        <f>'14ГМЦ+Насосная УОП'!J31</f>
        <v>7.9600000000000001E-3</v>
      </c>
      <c r="N155" s="630">
        <f>'14ГМЦ+Насосная УОП'!I58</f>
        <v>1.01E-3</v>
      </c>
      <c r="O155" s="629">
        <f>'14ГМЦ+Насосная УОП'!J58</f>
        <v>3.1850000000000003E-2</v>
      </c>
    </row>
    <row r="156" spans="2:15" ht="19.5" customHeight="1" x14ac:dyDescent="0.25">
      <c r="B156" s="1011"/>
      <c r="C156" s="525" t="s">
        <v>517</v>
      </c>
      <c r="D156" s="626" t="str">
        <f>'14ГМЦ+Насосная УОП'!G59</f>
        <v>Серная кислота</v>
      </c>
      <c r="E156" s="627" t="str">
        <f>'14ГМЦ+Насосная УОП'!H59</f>
        <v>0322</v>
      </c>
      <c r="F156" s="630"/>
      <c r="G156" s="629"/>
      <c r="H156" s="630"/>
      <c r="I156" s="627"/>
      <c r="J156" s="628"/>
      <c r="K156" s="659"/>
      <c r="L156" s="630">
        <f>'14ГМЦ+Насосная УОП'!I32</f>
        <v>2.3000000000000001E-4</v>
      </c>
      <c r="M156" s="629">
        <f>'14ГМЦ+Насосная УОП'!J32</f>
        <v>8.5999999999999998E-4</v>
      </c>
      <c r="N156" s="630">
        <f>'14ГМЦ+Насосная УОП'!I59</f>
        <v>2.3000000000000001E-4</v>
      </c>
      <c r="O156" s="629">
        <f>'14ГМЦ+Насосная УОП'!J59</f>
        <v>3.4399999999999999E-3</v>
      </c>
    </row>
    <row r="157" spans="2:15" ht="19.5" customHeight="1" x14ac:dyDescent="0.25">
      <c r="B157" s="1011"/>
      <c r="C157" s="525" t="s">
        <v>520</v>
      </c>
      <c r="D157" s="626" t="str">
        <f>'14ГМЦ+Насосная УОП'!G60</f>
        <v>Серная кислота</v>
      </c>
      <c r="E157" s="627" t="str">
        <f>'14ГМЦ+Насосная УОП'!H60</f>
        <v>0322</v>
      </c>
      <c r="F157" s="630"/>
      <c r="G157" s="629"/>
      <c r="H157" s="630"/>
      <c r="I157" s="627"/>
      <c r="J157" s="628"/>
      <c r="K157" s="659"/>
      <c r="L157" s="630">
        <f>'14ГМЦ+Насосная УОП'!I33</f>
        <v>2.3000000000000001E-4</v>
      </c>
      <c r="M157" s="629">
        <f>'14ГМЦ+Насосная УОП'!J33</f>
        <v>8.5999999999999998E-4</v>
      </c>
      <c r="N157" s="630">
        <f>'14ГМЦ+Насосная УОП'!I60</f>
        <v>2.3000000000000001E-4</v>
      </c>
      <c r="O157" s="629">
        <f>'14ГМЦ+Насосная УОП'!J60</f>
        <v>3.4399999999999999E-3</v>
      </c>
    </row>
    <row r="158" spans="2:15" ht="19.5" customHeight="1" x14ac:dyDescent="0.25">
      <c r="B158" s="1011"/>
      <c r="C158" s="525" t="s">
        <v>521</v>
      </c>
      <c r="D158" s="626" t="str">
        <f>'14ГМЦ+Насосная УОП'!G61</f>
        <v>Серная кислота</v>
      </c>
      <c r="E158" s="627" t="str">
        <f>'14ГМЦ+Насосная УОП'!H61</f>
        <v>0322</v>
      </c>
      <c r="F158" s="630"/>
      <c r="G158" s="629"/>
      <c r="H158" s="630"/>
      <c r="I158" s="627"/>
      <c r="J158" s="628"/>
      <c r="K158" s="659"/>
      <c r="L158" s="630">
        <f>'14ГМЦ+Насосная УОП'!I34</f>
        <v>2.3000000000000001E-4</v>
      </c>
      <c r="M158" s="629">
        <f>'14ГМЦ+Насосная УОП'!J34</f>
        <v>8.5999999999999998E-4</v>
      </c>
      <c r="N158" s="630">
        <f>'14ГМЦ+Насосная УОП'!I61</f>
        <v>2.3000000000000001E-4</v>
      </c>
      <c r="O158" s="629">
        <f>'14ГМЦ+Насосная УОП'!J61</f>
        <v>3.4399999999999999E-3</v>
      </c>
    </row>
    <row r="159" spans="2:15" ht="19.5" customHeight="1" x14ac:dyDescent="0.25">
      <c r="B159" s="1011"/>
      <c r="C159" s="525" t="s">
        <v>524</v>
      </c>
      <c r="D159" s="626" t="str">
        <f>'14ГМЦ+Насосная УОП'!G62</f>
        <v>Серная кислота</v>
      </c>
      <c r="E159" s="627" t="str">
        <f>'14ГМЦ+Насосная УОП'!H62</f>
        <v>0322</v>
      </c>
      <c r="F159" s="630"/>
      <c r="G159" s="629"/>
      <c r="H159" s="630"/>
      <c r="I159" s="627"/>
      <c r="J159" s="628"/>
      <c r="K159" s="659"/>
      <c r="L159" s="630">
        <f>'14ГМЦ+Насосная УОП'!I35</f>
        <v>2.3000000000000001E-4</v>
      </c>
      <c r="M159" s="629">
        <f>'14ГМЦ+Насосная УОП'!J35</f>
        <v>8.5999999999999998E-4</v>
      </c>
      <c r="N159" s="630">
        <f>'14ГМЦ+Насосная УОП'!I62</f>
        <v>2.3000000000000001E-4</v>
      </c>
      <c r="O159" s="629">
        <f>'14ГМЦ+Насосная УОП'!J62</f>
        <v>3.4399999999999999E-3</v>
      </c>
    </row>
    <row r="160" spans="2:15" ht="50.25" customHeight="1" x14ac:dyDescent="0.25">
      <c r="B160" s="1011"/>
      <c r="C160" s="525" t="s">
        <v>527</v>
      </c>
      <c r="D160" s="626" t="str">
        <f>'14ГМЦ+Насосная УОП'!G63</f>
        <v>Пыль неорган. 70-20% двуокиси кремния</v>
      </c>
      <c r="E160" s="627" t="str">
        <f>'14ГМЦ+Насосная УОП'!H63</f>
        <v>2908</v>
      </c>
      <c r="F160" s="630"/>
      <c r="G160" s="629"/>
      <c r="H160" s="630"/>
      <c r="I160" s="627"/>
      <c r="J160" s="628"/>
      <c r="K160" s="659"/>
      <c r="L160" s="630">
        <f>'14ГМЦ+Насосная УОП'!I36</f>
        <v>3.6810000000000002E-2</v>
      </c>
      <c r="M160" s="629">
        <f>'14ГМЦ+Насосная УОП'!J36</f>
        <v>0.29021000000000002</v>
      </c>
      <c r="N160" s="630">
        <f>'14ГМЦ+Насосная УОП'!I63</f>
        <v>3.6810000000000002E-2</v>
      </c>
      <c r="O160" s="629">
        <f>'14ГМЦ+Насосная УОП'!J63</f>
        <v>1.1608400000000001</v>
      </c>
    </row>
    <row r="161" spans="2:15" ht="15" customHeight="1" x14ac:dyDescent="0.25">
      <c r="B161" s="1011"/>
      <c r="C161" s="525" t="s">
        <v>1407</v>
      </c>
      <c r="D161" s="626" t="str">
        <f>'1 котельная+парогенераторная'!Q129</f>
        <v>Азота диоксид</v>
      </c>
      <c r="E161" s="678" t="str">
        <f>'1 котельная+парогенераторная'!R129</f>
        <v>0301</v>
      </c>
      <c r="F161" s="628"/>
      <c r="G161" s="629"/>
      <c r="H161" s="630"/>
      <c r="I161" s="631"/>
      <c r="J161" s="628"/>
      <c r="K161" s="632"/>
      <c r="L161" s="628">
        <f>'1 котельная+парогенераторная'!T98</f>
        <v>2.6678999999999999</v>
      </c>
      <c r="M161" s="629">
        <f>'1 котельная+парогенераторная'!U98</f>
        <v>5.7599999999999998E-2</v>
      </c>
      <c r="N161" s="628">
        <f>'1 котельная+парогенераторная'!T129</f>
        <v>2.6678999999999999</v>
      </c>
      <c r="O161" s="629">
        <f>'1 котельная+парогенераторная'!U129</f>
        <v>0.23050000000000001</v>
      </c>
    </row>
    <row r="162" spans="2:15" ht="15" customHeight="1" x14ac:dyDescent="0.25">
      <c r="B162" s="1011"/>
      <c r="C162" s="528"/>
      <c r="D162" s="633" t="str">
        <f>'1 котельная+парогенераторная'!Q130</f>
        <v>Азота оксид</v>
      </c>
      <c r="E162" s="679" t="str">
        <f>'1 котельная+парогенераторная'!R130</f>
        <v>0304</v>
      </c>
      <c r="F162" s="635"/>
      <c r="G162" s="636"/>
      <c r="H162" s="637"/>
      <c r="I162" s="638"/>
      <c r="J162" s="635"/>
      <c r="K162" s="639"/>
      <c r="L162" s="635">
        <f>'1 котельная+парогенераторная'!T99</f>
        <v>0.4335</v>
      </c>
      <c r="M162" s="636">
        <f>'1 котельная+парогенераторная'!U99</f>
        <v>9.4000000000000004E-3</v>
      </c>
      <c r="N162" s="635">
        <f>'1 котельная+парогенераторная'!T130</f>
        <v>0.4335</v>
      </c>
      <c r="O162" s="636">
        <f>'1 котельная+парогенераторная'!U130</f>
        <v>3.7499999999999999E-2</v>
      </c>
    </row>
    <row r="163" spans="2:15" ht="15" customHeight="1" x14ac:dyDescent="0.25">
      <c r="B163" s="527"/>
      <c r="C163" s="528"/>
      <c r="D163" s="633" t="str">
        <f>'1 котельная+парогенераторная'!Q131</f>
        <v>Серы диоксид</v>
      </c>
      <c r="E163" s="679" t="str">
        <f>'1 котельная+парогенераторная'!R131</f>
        <v>0330</v>
      </c>
      <c r="F163" s="635"/>
      <c r="G163" s="636"/>
      <c r="H163" s="637"/>
      <c r="I163" s="638"/>
      <c r="J163" s="635"/>
      <c r="K163" s="639"/>
      <c r="L163" s="635">
        <f>'1 котельная+парогенераторная'!T100</f>
        <v>0.76449999999999996</v>
      </c>
      <c r="M163" s="636">
        <f>'1 котельная+парогенераторная'!U100</f>
        <v>1.6500000000000001E-2</v>
      </c>
      <c r="N163" s="635">
        <f>'1 котельная+парогенераторная'!T131</f>
        <v>0.76449999999999996</v>
      </c>
      <c r="O163" s="636">
        <f>'1 котельная+парогенераторная'!U131</f>
        <v>6.6100000000000006E-2</v>
      </c>
    </row>
    <row r="164" spans="2:15" ht="15" customHeight="1" x14ac:dyDescent="0.25">
      <c r="B164" s="527"/>
      <c r="C164" s="528"/>
      <c r="D164" s="633" t="str">
        <f>'1 котельная+парогенераторная'!Q132</f>
        <v xml:space="preserve">Углерод </v>
      </c>
      <c r="E164" s="679" t="str">
        <f>'1 котельная+парогенераторная'!R132</f>
        <v>0328</v>
      </c>
      <c r="F164" s="635"/>
      <c r="G164" s="636"/>
      <c r="H164" s="637"/>
      <c r="I164" s="638"/>
      <c r="J164" s="635"/>
      <c r="K164" s="639"/>
      <c r="L164" s="635">
        <f>'1 котельная+парогенераторная'!T101</f>
        <v>7.8E-2</v>
      </c>
      <c r="M164" s="636">
        <f>'1 котельная+парогенераторная'!U101</f>
        <v>1.6999999999999999E-3</v>
      </c>
      <c r="N164" s="635">
        <f>'1 котельная+парогенераторная'!T132</f>
        <v>7.8E-2</v>
      </c>
      <c r="O164" s="636">
        <f>'1 котельная+парогенераторная'!U132</f>
        <v>6.7000000000000002E-3</v>
      </c>
    </row>
    <row r="165" spans="2:15" ht="15" customHeight="1" x14ac:dyDescent="0.25">
      <c r="B165" s="527"/>
      <c r="C165" s="529"/>
      <c r="D165" s="640" t="str">
        <f>'1 котельная+парогенераторная'!Q133</f>
        <v>Углерода оксид</v>
      </c>
      <c r="E165" s="680" t="str">
        <f>'1 котельная+парогенераторная'!R133</f>
        <v>0337</v>
      </c>
      <c r="F165" s="642"/>
      <c r="G165" s="643"/>
      <c r="H165" s="644"/>
      <c r="I165" s="645"/>
      <c r="J165" s="642"/>
      <c r="K165" s="646"/>
      <c r="L165" s="642">
        <f>'1 котельная+парогенераторная'!T102</f>
        <v>10.838699999999999</v>
      </c>
      <c r="M165" s="643">
        <f>'1 котельная+парогенераторная'!U102</f>
        <v>0.2341</v>
      </c>
      <c r="N165" s="642">
        <f>'1 котельная+парогенераторная'!T133</f>
        <v>10.838699999999999</v>
      </c>
      <c r="O165" s="643">
        <f>'1 котельная+парогенераторная'!U133</f>
        <v>0.9365</v>
      </c>
    </row>
    <row r="166" spans="2:15" ht="19.5" customHeight="1" x14ac:dyDescent="0.25">
      <c r="B166" s="1010" t="s">
        <v>550</v>
      </c>
      <c r="C166" s="525" t="s">
        <v>532</v>
      </c>
      <c r="D166" s="626" t="str">
        <f>'14ГМЦ+Насосная УОП'!G65</f>
        <v>Гидроксид натрия</v>
      </c>
      <c r="E166" s="681" t="str">
        <f>'14ГМЦ+Насосная УОП'!H65</f>
        <v>0150</v>
      </c>
      <c r="F166" s="630"/>
      <c r="G166" s="629"/>
      <c r="H166" s="630"/>
      <c r="I166" s="627"/>
      <c r="J166" s="628"/>
      <c r="K166" s="659"/>
      <c r="L166" s="630">
        <f>'14ГМЦ+Насосная УОП'!I38</f>
        <v>1.39E-6</v>
      </c>
      <c r="M166" s="629">
        <f>'14ГМЦ+Насосная УОП'!J38</f>
        <v>1.1E-5</v>
      </c>
      <c r="N166" s="630">
        <f>'14ГМЦ+Насосная УОП'!I65</f>
        <v>1.39E-6</v>
      </c>
      <c r="O166" s="629">
        <f>'14ГМЦ+Насосная УОП'!J65</f>
        <v>4.3999999999999999E-5</v>
      </c>
    </row>
    <row r="167" spans="2:15" ht="19.5" customHeight="1" x14ac:dyDescent="0.25">
      <c r="B167" s="1011"/>
      <c r="C167" s="525" t="s">
        <v>535</v>
      </c>
      <c r="D167" s="626" t="str">
        <f>'14ГМЦ+Насосная УОП'!G66</f>
        <v>Гидроксид натрия</v>
      </c>
      <c r="E167" s="681" t="str">
        <f>'14ГМЦ+Насосная УОП'!H66</f>
        <v>0150</v>
      </c>
      <c r="F167" s="630"/>
      <c r="G167" s="629"/>
      <c r="H167" s="630"/>
      <c r="I167" s="627"/>
      <c r="J167" s="628"/>
      <c r="K167" s="659"/>
      <c r="L167" s="630">
        <f>'14ГМЦ+Насосная УОП'!I39</f>
        <v>1.39E-6</v>
      </c>
      <c r="M167" s="629">
        <f>'14ГМЦ+Насосная УОП'!J39</f>
        <v>1.1E-5</v>
      </c>
      <c r="N167" s="630">
        <f>'14ГМЦ+Насосная УОП'!I66</f>
        <v>1.39E-6</v>
      </c>
      <c r="O167" s="629">
        <f>'14ГМЦ+Насосная УОП'!J66</f>
        <v>4.3999999999999999E-5</v>
      </c>
    </row>
    <row r="168" spans="2:15" ht="19.5" customHeight="1" x14ac:dyDescent="0.25">
      <c r="B168" s="1011"/>
      <c r="C168" s="525" t="s">
        <v>536</v>
      </c>
      <c r="D168" s="626" t="str">
        <f>'14ГМЦ+Насосная УОП'!G67</f>
        <v>Гидроксид натрия</v>
      </c>
      <c r="E168" s="681" t="str">
        <f>'14ГМЦ+Насосная УОП'!H67</f>
        <v>0150</v>
      </c>
      <c r="F168" s="630"/>
      <c r="G168" s="629"/>
      <c r="H168" s="630"/>
      <c r="I168" s="627"/>
      <c r="J168" s="628"/>
      <c r="K168" s="659"/>
      <c r="L168" s="630">
        <f>'14ГМЦ+Насосная УОП'!I40</f>
        <v>1.0899999999999999E-6</v>
      </c>
      <c r="M168" s="629">
        <f>'14ГМЦ+Насосная УОП'!J40</f>
        <v>3.9999999999999998E-6</v>
      </c>
      <c r="N168" s="630">
        <f>'14ГМЦ+Насосная УОП'!I67</f>
        <v>1.0899999999999999E-6</v>
      </c>
      <c r="O168" s="629">
        <f>'14ГМЦ+Насосная УОП'!J67</f>
        <v>1.5999999999999999E-5</v>
      </c>
    </row>
    <row r="169" spans="2:15" ht="19.5" customHeight="1" x14ac:dyDescent="0.25">
      <c r="B169" s="1011"/>
      <c r="C169" s="525" t="s">
        <v>537</v>
      </c>
      <c r="D169" s="626" t="str">
        <f>'14ГМЦ+Насосная УОП'!G68</f>
        <v>Гидроксид натрия</v>
      </c>
      <c r="E169" s="681" t="str">
        <f>'14ГМЦ+Насосная УОП'!H68</f>
        <v>0150</v>
      </c>
      <c r="F169" s="630"/>
      <c r="G169" s="629"/>
      <c r="H169" s="630"/>
      <c r="I169" s="627"/>
      <c r="J169" s="628"/>
      <c r="K169" s="659"/>
      <c r="L169" s="630">
        <f>'14ГМЦ+Насосная УОП'!I41</f>
        <v>1.0899999999999999E-6</v>
      </c>
      <c r="M169" s="629">
        <f>'14ГМЦ+Насосная УОП'!J41</f>
        <v>3.9999999999999998E-6</v>
      </c>
      <c r="N169" s="630">
        <f>'14ГМЦ+Насосная УОП'!I68</f>
        <v>1.0899999999999999E-6</v>
      </c>
      <c r="O169" s="629">
        <f>'14ГМЦ+Насосная УОП'!J68</f>
        <v>1.5999999999999999E-5</v>
      </c>
    </row>
    <row r="170" spans="2:15" ht="19.5" customHeight="1" x14ac:dyDescent="0.25">
      <c r="B170" s="1013"/>
      <c r="C170" s="525" t="s">
        <v>538</v>
      </c>
      <c r="D170" s="626" t="str">
        <f>'14ГМЦ+Насосная УОП'!G69</f>
        <v>Гидроксид натрия</v>
      </c>
      <c r="E170" s="681" t="str">
        <f>'14ГМЦ+Насосная УОП'!H69</f>
        <v>0150</v>
      </c>
      <c r="F170" s="630"/>
      <c r="G170" s="629"/>
      <c r="H170" s="630"/>
      <c r="I170" s="627"/>
      <c r="J170" s="628"/>
      <c r="K170" s="659"/>
      <c r="L170" s="630">
        <f>'14ГМЦ+Насосная УОП'!I42</f>
        <v>3.0000000000000001E-5</v>
      </c>
      <c r="M170" s="629">
        <f>'14ГМЦ+Насосная УОП'!J42</f>
        <v>2.4000000000000001E-4</v>
      </c>
      <c r="N170" s="630">
        <f>'14ГМЦ+Насосная УОП'!I69</f>
        <v>3.0000000000000001E-5</v>
      </c>
      <c r="O170" s="629">
        <f>'14ГМЦ+Насосная УОП'!J69</f>
        <v>9.5E-4</v>
      </c>
    </row>
    <row r="171" spans="2:15" ht="15" customHeight="1" x14ac:dyDescent="0.25">
      <c r="B171" s="1010" t="s">
        <v>566</v>
      </c>
      <c r="C171" s="525" t="s">
        <v>539</v>
      </c>
      <c r="D171" s="626" t="str">
        <f>'13 Корпус CIL'!G139</f>
        <v>Гидроцианид</v>
      </c>
      <c r="E171" s="631" t="str">
        <f>'13 Корпус CIL'!H139</f>
        <v>0317</v>
      </c>
      <c r="F171" s="630"/>
      <c r="G171" s="629"/>
      <c r="H171" s="630"/>
      <c r="I171" s="627"/>
      <c r="J171" s="628"/>
      <c r="K171" s="659"/>
      <c r="L171" s="630">
        <f>'13 Корпус CIL'!I20</f>
        <v>1E-3</v>
      </c>
      <c r="M171" s="629">
        <f>'13 Корпус CIL'!J20</f>
        <v>7.8799999999999999E-3</v>
      </c>
      <c r="N171" s="630">
        <f>'13 Корпус CIL'!I139</f>
        <v>1E-3</v>
      </c>
      <c r="O171" s="629">
        <f>'13 Корпус CIL'!J139</f>
        <v>3.1539999999999999E-2</v>
      </c>
    </row>
    <row r="172" spans="2:15" ht="15" customHeight="1" x14ac:dyDescent="0.25">
      <c r="B172" s="1011"/>
      <c r="C172" s="528"/>
      <c r="D172" s="633" t="str">
        <f>'13 Корпус CIL'!G140</f>
        <v>Гидроксид натрия</v>
      </c>
      <c r="E172" s="638" t="str">
        <f>'13 Корпус CIL'!H140</f>
        <v>0150</v>
      </c>
      <c r="F172" s="637"/>
      <c r="G172" s="636"/>
      <c r="H172" s="637"/>
      <c r="I172" s="634"/>
      <c r="J172" s="635"/>
      <c r="L172" s="637">
        <f>'13 Корпус CIL'!I21</f>
        <v>1.39E-6</v>
      </c>
      <c r="M172" s="636">
        <f>'13 Корпус CIL'!J21</f>
        <v>1.1E-5</v>
      </c>
      <c r="N172" s="637">
        <f>'13 Корпус CIL'!I140</f>
        <v>1.39E-6</v>
      </c>
      <c r="O172" s="636">
        <f>'13 Корпус CIL'!J140</f>
        <v>4.3999999999999999E-5</v>
      </c>
    </row>
    <row r="173" spans="2:15" ht="15" customHeight="1" x14ac:dyDescent="0.25">
      <c r="B173" s="1011"/>
      <c r="C173" s="528"/>
      <c r="D173" s="633" t="str">
        <f>'13 Корпус CIL'!G141</f>
        <v>Дигидроксид кальция</v>
      </c>
      <c r="E173" s="638" t="str">
        <f>'13 Корпус CIL'!H141</f>
        <v>0214</v>
      </c>
      <c r="F173" s="637"/>
      <c r="G173" s="636"/>
      <c r="H173" s="637"/>
      <c r="I173" s="634"/>
      <c r="J173" s="635"/>
      <c r="L173" s="637">
        <f>'13 Корпус CIL'!I22</f>
        <v>1.3999999999999999E-4</v>
      </c>
      <c r="M173" s="636">
        <f>'13 Корпус CIL'!J22</f>
        <v>1.1000000000000001E-3</v>
      </c>
      <c r="N173" s="637">
        <f>'13 Корпус CIL'!I141</f>
        <v>1.3999999999999999E-4</v>
      </c>
      <c r="O173" s="636">
        <f>'13 Корпус CIL'!J141</f>
        <v>4.4200000000000003E-3</v>
      </c>
    </row>
    <row r="174" spans="2:15" ht="15" customHeight="1" x14ac:dyDescent="0.25">
      <c r="B174" s="1011"/>
      <c r="C174" s="528"/>
      <c r="D174" s="633" t="str">
        <f>'13 Корпус CIL'!G142</f>
        <v>Диоксид серы</v>
      </c>
      <c r="E174" s="638" t="str">
        <f>'13 Корпус CIL'!H142</f>
        <v>0330</v>
      </c>
      <c r="F174" s="637"/>
      <c r="G174" s="636"/>
      <c r="H174" s="637"/>
      <c r="I174" s="634"/>
      <c r="J174" s="635"/>
      <c r="L174" s="637">
        <f>'13 Корпус CIL'!I23</f>
        <v>3.3000000000000002E-6</v>
      </c>
      <c r="M174" s="636">
        <f>'13 Корпус CIL'!J23</f>
        <v>3.0000000000000001E-5</v>
      </c>
      <c r="N174" s="637">
        <f>'13 Корпус CIL'!I142</f>
        <v>3.3000000000000002E-6</v>
      </c>
      <c r="O174" s="636">
        <f>'13 Корпус CIL'!J142</f>
        <v>1E-4</v>
      </c>
    </row>
    <row r="175" spans="2:15" ht="15" customHeight="1" x14ac:dyDescent="0.25">
      <c r="B175" s="1011"/>
      <c r="C175" s="528"/>
      <c r="D175" s="640" t="str">
        <f>'13 Корпус CIL'!G143</f>
        <v>Углерод</v>
      </c>
      <c r="E175" s="645" t="str">
        <f>'13 Корпус CIL'!H143</f>
        <v>0328</v>
      </c>
      <c r="F175" s="644"/>
      <c r="G175" s="643"/>
      <c r="H175" s="644"/>
      <c r="I175" s="641"/>
      <c r="J175" s="642"/>
      <c r="K175" s="661"/>
      <c r="L175" s="644">
        <f>'13 Корпус CIL'!I24</f>
        <v>1.7000000000000001E-4</v>
      </c>
      <c r="M175" s="643">
        <f>'13 Корпус CIL'!J24</f>
        <v>1.34E-3</v>
      </c>
      <c r="N175" s="644">
        <f>'13 Корпус CIL'!I143</f>
        <v>1.7000000000000001E-4</v>
      </c>
      <c r="O175" s="643">
        <f>'13 Корпус CIL'!J143</f>
        <v>5.3600000000000002E-3</v>
      </c>
    </row>
    <row r="176" spans="2:15" ht="15" customHeight="1" x14ac:dyDescent="0.25">
      <c r="B176" s="1011"/>
      <c r="C176" s="525" t="s">
        <v>540</v>
      </c>
      <c r="D176" s="626" t="str">
        <f>'13 Корпус CIL'!G144</f>
        <v>Гидроцианид</v>
      </c>
      <c r="E176" s="631" t="str">
        <f>'13 Корпус CIL'!H144</f>
        <v>0317</v>
      </c>
      <c r="F176" s="630"/>
      <c r="G176" s="629"/>
      <c r="H176" s="630"/>
      <c r="I176" s="627"/>
      <c r="J176" s="628"/>
      <c r="K176" s="659"/>
      <c r="L176" s="630">
        <f>'13 Корпус CIL'!I25</f>
        <v>4.6E-6</v>
      </c>
      <c r="M176" s="629">
        <f>'13 Корпус CIL'!J25</f>
        <v>4.0000000000000003E-5</v>
      </c>
      <c r="N176" s="630">
        <f>'13 Корпус CIL'!I144</f>
        <v>4.6E-6</v>
      </c>
      <c r="O176" s="629">
        <f>'13 Корпус CIL'!J144</f>
        <v>1.4999999999999999E-4</v>
      </c>
    </row>
    <row r="177" spans="2:15" ht="15" customHeight="1" x14ac:dyDescent="0.25">
      <c r="B177" s="1011"/>
      <c r="C177" s="528"/>
      <c r="D177" s="640" t="str">
        <f>'13 Корпус CIL'!G145</f>
        <v>Диоксид серы</v>
      </c>
      <c r="E177" s="645" t="str">
        <f>'13 Корпус CIL'!H145</f>
        <v>0330</v>
      </c>
      <c r="F177" s="644"/>
      <c r="G177" s="643"/>
      <c r="H177" s="644"/>
      <c r="I177" s="641"/>
      <c r="J177" s="642"/>
      <c r="K177" s="661"/>
      <c r="L177" s="644">
        <f>'13 Корпус CIL'!I26</f>
        <v>4.6E-6</v>
      </c>
      <c r="M177" s="643">
        <f>'13 Корпус CIL'!J26</f>
        <v>4.0000000000000003E-5</v>
      </c>
      <c r="N177" s="644">
        <f>'13 Корпус CIL'!I145</f>
        <v>4.6E-6</v>
      </c>
      <c r="O177" s="643">
        <f>'13 Корпус CIL'!J145</f>
        <v>1.4999999999999999E-4</v>
      </c>
    </row>
    <row r="178" spans="2:15" ht="15.75" customHeight="1" x14ac:dyDescent="0.25">
      <c r="B178" s="1011"/>
      <c r="C178" s="525" t="s">
        <v>541</v>
      </c>
      <c r="D178" s="626" t="str">
        <f>'13 Корпус CIL'!G146</f>
        <v>Гидроцианид</v>
      </c>
      <c r="E178" s="631" t="str">
        <f>'13 Корпус CIL'!H146</f>
        <v>0317</v>
      </c>
      <c r="F178" s="630"/>
      <c r="G178" s="629"/>
      <c r="H178" s="630"/>
      <c r="I178" s="627"/>
      <c r="J178" s="628"/>
      <c r="K178" s="659"/>
      <c r="L178" s="630">
        <f>'13 Корпус CIL'!I27</f>
        <v>1.1E-4</v>
      </c>
      <c r="M178" s="629">
        <f>'13 Корпус CIL'!J27</f>
        <v>8.7000000000000001E-4</v>
      </c>
      <c r="N178" s="630">
        <f>'13 Корпус CIL'!I146</f>
        <v>1.1E-4</v>
      </c>
      <c r="O178" s="629">
        <f>'13 Корпус CIL'!J146</f>
        <v>3.47E-3</v>
      </c>
    </row>
    <row r="179" spans="2:15" ht="15" customHeight="1" x14ac:dyDescent="0.25">
      <c r="B179" s="1011"/>
      <c r="C179" s="528"/>
      <c r="D179" s="633" t="str">
        <f>'13 Корпус CIL'!G147</f>
        <v>Дигидроксид кальция</v>
      </c>
      <c r="E179" s="638" t="str">
        <f>'13 Корпус CIL'!H147</f>
        <v>0214</v>
      </c>
      <c r="F179" s="637"/>
      <c r="G179" s="636"/>
      <c r="H179" s="637"/>
      <c r="I179" s="634"/>
      <c r="J179" s="635"/>
      <c r="L179" s="637">
        <f>'13 Корпус CIL'!I28</f>
        <v>1.7700000000000001E-3</v>
      </c>
      <c r="M179" s="636">
        <f>'13 Корпус CIL'!J28</f>
        <v>1.3950000000000001E-2</v>
      </c>
      <c r="N179" s="637">
        <f>'13 Корпус CIL'!I147</f>
        <v>1.7700000000000001E-3</v>
      </c>
      <c r="O179" s="636">
        <f>'13 Корпус CIL'!J147</f>
        <v>5.5820000000000002E-2</v>
      </c>
    </row>
    <row r="180" spans="2:15" ht="15" customHeight="1" x14ac:dyDescent="0.25">
      <c r="B180" s="1011"/>
      <c r="C180" s="528"/>
      <c r="D180" s="633" t="str">
        <f>'13 Корпус CIL'!G148</f>
        <v>Кальций карбонат</v>
      </c>
      <c r="E180" s="638" t="str">
        <f>'13 Корпус CIL'!H148</f>
        <v>3119</v>
      </c>
      <c r="F180" s="637"/>
      <c r="G180" s="636"/>
      <c r="H180" s="637"/>
      <c r="I180" s="634"/>
      <c r="J180" s="635"/>
      <c r="L180" s="637">
        <f>'13 Корпус CIL'!I29</f>
        <v>9.8899999999999995E-3</v>
      </c>
      <c r="M180" s="636">
        <f>'13 Корпус CIL'!J29</f>
        <v>7.7969999999999998E-2</v>
      </c>
      <c r="N180" s="637">
        <f>'13 Корпус CIL'!I148</f>
        <v>9.8899999999999995E-3</v>
      </c>
      <c r="O180" s="636">
        <f>'13 Корпус CIL'!J148</f>
        <v>0.31189</v>
      </c>
    </row>
    <row r="181" spans="2:15" ht="15" customHeight="1" x14ac:dyDescent="0.25">
      <c r="B181" s="1011"/>
      <c r="C181" s="528"/>
      <c r="D181" s="633" t="str">
        <f>'13 Корпус CIL'!G149</f>
        <v>Кальций оксид</v>
      </c>
      <c r="E181" s="638" t="str">
        <f>'13 Корпус CIL'!H149</f>
        <v>0128</v>
      </c>
      <c r="F181" s="637"/>
      <c r="G181" s="636"/>
      <c r="H181" s="637"/>
      <c r="I181" s="634"/>
      <c r="J181" s="635"/>
      <c r="L181" s="637">
        <f>'13 Корпус CIL'!I30</f>
        <v>3.6900000000000001E-3</v>
      </c>
      <c r="M181" s="636">
        <f>'13 Корпус CIL'!J30</f>
        <v>2.9090000000000001E-2</v>
      </c>
      <c r="N181" s="637">
        <f>'13 Корпус CIL'!I149</f>
        <v>3.6900000000000001E-3</v>
      </c>
      <c r="O181" s="636">
        <f>'13 Корпус CIL'!J149</f>
        <v>0.11637</v>
      </c>
    </row>
    <row r="182" spans="2:15" ht="15" customHeight="1" x14ac:dyDescent="0.25">
      <c r="B182" s="1011"/>
      <c r="C182" s="525" t="s">
        <v>542</v>
      </c>
      <c r="D182" s="626" t="str">
        <f>'13 Корпус CIL'!G150</f>
        <v>Гидроцианид</v>
      </c>
      <c r="E182" s="631" t="str">
        <f>'13 Корпус CIL'!H150</f>
        <v>0317</v>
      </c>
      <c r="F182" s="630"/>
      <c r="G182" s="629"/>
      <c r="H182" s="630"/>
      <c r="I182" s="627"/>
      <c r="J182" s="628"/>
      <c r="K182" s="659"/>
      <c r="L182" s="630">
        <f>'13 Корпус CIL'!I31</f>
        <v>1.34E-3</v>
      </c>
      <c r="M182" s="629">
        <f>'13 Корпус CIL'!J31</f>
        <v>1.056E-2</v>
      </c>
      <c r="N182" s="630">
        <f>'13 Корпус CIL'!I150</f>
        <v>1.34E-3</v>
      </c>
      <c r="O182" s="629">
        <f>'13 Корпус CIL'!J150</f>
        <v>4.2259999999999999E-2</v>
      </c>
    </row>
    <row r="183" spans="2:15" ht="15" customHeight="1" x14ac:dyDescent="0.25">
      <c r="B183" s="1011"/>
      <c r="C183" s="528"/>
      <c r="D183" s="633" t="str">
        <f>'13 Корпус CIL'!G151</f>
        <v>Гидроксид натрия</v>
      </c>
      <c r="E183" s="638" t="str">
        <f>'13 Корпус CIL'!H151</f>
        <v>0150</v>
      </c>
      <c r="F183" s="637"/>
      <c r="G183" s="636"/>
      <c r="H183" s="637"/>
      <c r="I183" s="634"/>
      <c r="J183" s="635"/>
      <c r="L183" s="637">
        <f>'13 Корпус CIL'!I32</f>
        <v>4.0000000000000003E-5</v>
      </c>
      <c r="M183" s="636">
        <f>'13 Корпус CIL'!J32</f>
        <v>3.2000000000000003E-4</v>
      </c>
      <c r="N183" s="637">
        <f>'13 Корпус CIL'!I151</f>
        <v>4.0000000000000003E-5</v>
      </c>
      <c r="O183" s="636">
        <f>'13 Корпус CIL'!J151</f>
        <v>1.2600000000000001E-3</v>
      </c>
    </row>
    <row r="184" spans="2:15" ht="15" customHeight="1" x14ac:dyDescent="0.25">
      <c r="B184" s="1011"/>
      <c r="C184" s="528"/>
      <c r="D184" s="633" t="str">
        <f>'13 Корпус CIL'!G152</f>
        <v>Дигидроксид кальция</v>
      </c>
      <c r="E184" s="638" t="str">
        <f>'13 Корпус CIL'!H152</f>
        <v>0214</v>
      </c>
      <c r="F184" s="637"/>
      <c r="G184" s="636"/>
      <c r="H184" s="637"/>
      <c r="I184" s="634"/>
      <c r="J184" s="635"/>
      <c r="L184" s="637">
        <f>'13 Корпус CIL'!I33</f>
        <v>1.9000000000000001E-4</v>
      </c>
      <c r="M184" s="636">
        <f>'13 Корпус CIL'!J33</f>
        <v>1.5E-3</v>
      </c>
      <c r="N184" s="637">
        <f>'13 Корпус CIL'!I152</f>
        <v>1.9000000000000001E-4</v>
      </c>
      <c r="O184" s="636">
        <f>'13 Корпус CIL'!J152</f>
        <v>5.9899999999999997E-3</v>
      </c>
    </row>
    <row r="185" spans="2:15" ht="40.5" customHeight="1" x14ac:dyDescent="0.25">
      <c r="B185" s="1011"/>
      <c r="C185" s="528"/>
      <c r="D185" s="633" t="str">
        <f>'13 Корпус CIL'!G153</f>
        <v xml:space="preserve">Пыль неорганическая, содержащая двуокись кремния в %: более 70 </v>
      </c>
      <c r="E185" s="638" t="str">
        <f>'13 Корпус CIL'!H153</f>
        <v>2907</v>
      </c>
      <c r="F185" s="637"/>
      <c r="G185" s="636"/>
      <c r="H185" s="637"/>
      <c r="I185" s="634"/>
      <c r="J185" s="635"/>
      <c r="L185" s="637">
        <f>'13 Корпус CIL'!I34</f>
        <v>6.7000000000000002E-4</v>
      </c>
      <c r="M185" s="636">
        <f>'13 Корпус CIL'!J34</f>
        <v>5.3E-3</v>
      </c>
      <c r="N185" s="637">
        <f>'13 Корпус CIL'!I153</f>
        <v>6.7000000000000002E-4</v>
      </c>
      <c r="O185" s="636">
        <f>'13 Корпус CIL'!J153</f>
        <v>2.1100000000000001E-2</v>
      </c>
    </row>
    <row r="186" spans="2:15" ht="15" customHeight="1" x14ac:dyDescent="0.25">
      <c r="B186" s="1011"/>
      <c r="C186" s="525" t="s">
        <v>543</v>
      </c>
      <c r="D186" s="647" t="str">
        <f>'13 Корпус CIL'!G154</f>
        <v>Гидроксид натрия</v>
      </c>
      <c r="E186" s="676" t="str">
        <f>'13 Корпус CIL'!H154</f>
        <v>0150</v>
      </c>
      <c r="F186" s="649"/>
      <c r="G186" s="650"/>
      <c r="H186" s="649"/>
      <c r="I186" s="648"/>
      <c r="J186" s="651"/>
      <c r="K186" s="652"/>
      <c r="L186" s="649">
        <f>'13 Корпус CIL'!I35</f>
        <v>6.4000000000000005E-4</v>
      </c>
      <c r="M186" s="650">
        <f>'13 Корпус CIL'!J35</f>
        <v>5.0499999999999998E-3</v>
      </c>
      <c r="N186" s="649">
        <f>'13 Корпус CIL'!I154</f>
        <v>6.4000000000000005E-4</v>
      </c>
      <c r="O186" s="650">
        <f>'13 Корпус CIL'!J154</f>
        <v>2.018E-2</v>
      </c>
    </row>
    <row r="187" spans="2:15" ht="30.75" customHeight="1" x14ac:dyDescent="0.25">
      <c r="B187" s="1011"/>
      <c r="C187" s="528"/>
      <c r="D187" s="669" t="str">
        <f>'13 Корпус CIL'!G155</f>
        <v>пентаНатрий трифосфат (Натрия триполифосфат)</v>
      </c>
      <c r="E187" s="670" t="str">
        <f>'13 Корпус CIL'!H155</f>
        <v>0161</v>
      </c>
      <c r="F187" s="671"/>
      <c r="G187" s="672"/>
      <c r="H187" s="671"/>
      <c r="I187" s="673"/>
      <c r="J187" s="674"/>
      <c r="K187" s="530"/>
      <c r="L187" s="671">
        <f>'13 Корпус CIL'!I36</f>
        <v>4.0000000000000003E-5</v>
      </c>
      <c r="M187" s="672">
        <f>'13 Корпус CIL'!J36</f>
        <v>3.2000000000000003E-4</v>
      </c>
      <c r="N187" s="671">
        <f>'13 Корпус CIL'!I155</f>
        <v>4.0000000000000003E-5</v>
      </c>
      <c r="O187" s="672">
        <f>'13 Корпус CIL'!J155</f>
        <v>1.2999999999999999E-3</v>
      </c>
    </row>
    <row r="188" spans="2:15" ht="15" customHeight="1" x14ac:dyDescent="0.25">
      <c r="B188" s="1011"/>
      <c r="C188" s="525" t="s">
        <v>544</v>
      </c>
      <c r="D188" s="626" t="str">
        <f>'13 Корпус CIL'!G156</f>
        <v>Гидроцианид</v>
      </c>
      <c r="E188" s="631" t="str">
        <f>'13 Корпус CIL'!H156</f>
        <v>0317</v>
      </c>
      <c r="F188" s="630"/>
      <c r="G188" s="629"/>
      <c r="H188" s="630"/>
      <c r="I188" s="627"/>
      <c r="J188" s="628"/>
      <c r="K188" s="659"/>
      <c r="L188" s="630">
        <f>'13 Корпус CIL'!I37</f>
        <v>1.5499999999999999E-3</v>
      </c>
      <c r="M188" s="629">
        <f>'13 Корпус CIL'!J37</f>
        <v>1.222E-2</v>
      </c>
      <c r="N188" s="630">
        <f>'13 Корпус CIL'!I156</f>
        <v>1.5499999999999999E-3</v>
      </c>
      <c r="O188" s="629">
        <f>'13 Корпус CIL'!J156</f>
        <v>4.888E-2</v>
      </c>
    </row>
    <row r="189" spans="2:15" ht="15" customHeight="1" x14ac:dyDescent="0.25">
      <c r="B189" s="1011"/>
      <c r="C189" s="528"/>
      <c r="D189" s="633" t="str">
        <f>'13 Корпус CIL'!G157</f>
        <v>Сульфаминовая кислота (Аминосульфоновая кислота)</v>
      </c>
      <c r="E189" s="638" t="str">
        <f>'13 Корпус CIL'!H157</f>
        <v>1549</v>
      </c>
      <c r="F189" s="637"/>
      <c r="G189" s="636"/>
      <c r="H189" s="637"/>
      <c r="I189" s="634"/>
      <c r="J189" s="635"/>
      <c r="L189" s="637">
        <f>'13 Корпус CIL'!I38</f>
        <v>1.5E-3</v>
      </c>
      <c r="M189" s="636">
        <f>'13 Корпус CIL'!J38</f>
        <v>1.183E-2</v>
      </c>
      <c r="N189" s="637">
        <f>'13 Корпус CIL'!I157</f>
        <v>1.5E-3</v>
      </c>
      <c r="O189" s="636">
        <f>'13 Корпус CIL'!J157</f>
        <v>4.7300000000000002E-2</v>
      </c>
    </row>
    <row r="190" spans="2:15" ht="15" customHeight="1" x14ac:dyDescent="0.25">
      <c r="B190" s="1011"/>
      <c r="C190" s="528"/>
      <c r="D190" s="633" t="str">
        <f>'13 Корпус CIL'!G158</f>
        <v>Гидроксид натрия</v>
      </c>
      <c r="E190" s="638" t="str">
        <f>'13 Корпус CIL'!H158</f>
        <v>0150</v>
      </c>
      <c r="F190" s="637"/>
      <c r="G190" s="636"/>
      <c r="H190" s="637"/>
      <c r="I190" s="634"/>
      <c r="J190" s="635"/>
      <c r="L190" s="637">
        <f>'13 Корпус CIL'!I39</f>
        <v>3.49E-3</v>
      </c>
      <c r="M190" s="636">
        <f>'13 Корпус CIL'!J39</f>
        <v>2.7519999999999999E-2</v>
      </c>
      <c r="N190" s="637">
        <f>'13 Корпус CIL'!I158</f>
        <v>3.49E-3</v>
      </c>
      <c r="O190" s="636">
        <f>'13 Корпус CIL'!J158</f>
        <v>0.11006000000000001</v>
      </c>
    </row>
    <row r="191" spans="2:15" ht="15" customHeight="1" x14ac:dyDescent="0.25">
      <c r="B191" s="1011"/>
      <c r="C191" s="528"/>
      <c r="D191" s="633" t="str">
        <f>'13 Корпус CIL'!G159</f>
        <v xml:space="preserve">Углерод оксид </v>
      </c>
      <c r="E191" s="638" t="str">
        <f>'13 Корпус CIL'!H159</f>
        <v>0337</v>
      </c>
      <c r="F191" s="637"/>
      <c r="G191" s="636"/>
      <c r="H191" s="637"/>
      <c r="I191" s="634"/>
      <c r="J191" s="635"/>
      <c r="L191" s="637">
        <f>'13 Корпус CIL'!I40</f>
        <v>2.2499999999999998E-3</v>
      </c>
      <c r="M191" s="636">
        <f>'13 Корпус CIL'!J40</f>
        <v>1.77E-2</v>
      </c>
      <c r="N191" s="637">
        <f>'13 Корпус CIL'!I159</f>
        <v>2.2499999999999998E-3</v>
      </c>
      <c r="O191" s="636">
        <f>'13 Корпус CIL'!J159</f>
        <v>7.0999999999999994E-2</v>
      </c>
    </row>
    <row r="192" spans="2:15" ht="15" customHeight="1" x14ac:dyDescent="0.25">
      <c r="B192" s="1011"/>
      <c r="C192" s="528"/>
      <c r="D192" s="633" t="str">
        <f>'13 Корпус CIL'!G160</f>
        <v>Дигидроксид кальция</v>
      </c>
      <c r="E192" s="638" t="str">
        <f>'13 Корпус CIL'!H160</f>
        <v>0214</v>
      </c>
      <c r="F192" s="637"/>
      <c r="G192" s="636"/>
      <c r="H192" s="637"/>
      <c r="I192" s="634"/>
      <c r="J192" s="635"/>
      <c r="L192" s="637">
        <f>'13 Корпус CIL'!I41</f>
        <v>8.0000000000000007E-5</v>
      </c>
      <c r="M192" s="636">
        <f>'13 Корпус CIL'!J41</f>
        <v>6.3000000000000003E-4</v>
      </c>
      <c r="N192" s="637">
        <f>'13 Корпус CIL'!I160</f>
        <v>8.0000000000000007E-5</v>
      </c>
      <c r="O192" s="636">
        <f>'13 Корпус CIL'!J160</f>
        <v>2.5200000000000001E-3</v>
      </c>
    </row>
    <row r="193" spans="2:15" ht="15" customHeight="1" x14ac:dyDescent="0.25">
      <c r="B193" s="1011"/>
      <c r="C193" s="529"/>
      <c r="D193" s="633" t="str">
        <f>'13 Корпус CIL'!G161</f>
        <v>Углерод</v>
      </c>
      <c r="E193" s="638" t="str">
        <f>'13 Корпус CIL'!H161</f>
        <v>0328</v>
      </c>
      <c r="F193" s="637"/>
      <c r="G193" s="636"/>
      <c r="H193" s="637"/>
      <c r="I193" s="634"/>
      <c r="J193" s="635"/>
      <c r="L193" s="637">
        <f>'13 Корпус CIL'!I42</f>
        <v>7.2000000000000005E-4</v>
      </c>
      <c r="M193" s="636">
        <f>'13 Корпус CIL'!J42</f>
        <v>5.6800000000000002E-3</v>
      </c>
      <c r="N193" s="637">
        <f>'13 Корпус CIL'!I161</f>
        <v>7.2000000000000005E-4</v>
      </c>
      <c r="O193" s="636">
        <f>'13 Корпус CIL'!J161</f>
        <v>2.2710000000000001E-2</v>
      </c>
    </row>
    <row r="194" spans="2:15" ht="15" customHeight="1" x14ac:dyDescent="0.25">
      <c r="B194" s="1011"/>
      <c r="C194" s="525" t="s">
        <v>553</v>
      </c>
      <c r="D194" s="626" t="str">
        <f>'13 Корпус CIL'!G162</f>
        <v xml:space="preserve">Углерод оксид </v>
      </c>
      <c r="E194" s="631" t="str">
        <f>'13 Корпус CIL'!H162</f>
        <v>0337</v>
      </c>
      <c r="F194" s="630"/>
      <c r="G194" s="629"/>
      <c r="H194" s="630"/>
      <c r="I194" s="627"/>
      <c r="J194" s="628"/>
      <c r="K194" s="659"/>
      <c r="L194" s="630">
        <f>'13 Корпус CIL'!I43</f>
        <v>1.1299999999999999E-3</v>
      </c>
      <c r="M194" s="629">
        <f>'13 Корпус CIL'!J43</f>
        <v>8.8999999999999999E-3</v>
      </c>
      <c r="N194" s="630">
        <f>'13 Корпус CIL'!I162</f>
        <v>1.1299999999999999E-3</v>
      </c>
      <c r="O194" s="629">
        <f>'13 Корпус CIL'!J162</f>
        <v>3.56E-2</v>
      </c>
    </row>
    <row r="195" spans="2:15" ht="63.75" customHeight="1" x14ac:dyDescent="0.25">
      <c r="B195" s="1011"/>
      <c r="C195" s="528"/>
      <c r="D195" s="633" t="str">
        <f>'13 Корпус CIL'!G163</f>
        <v>Пыль неорганическая, содержащая двуокись кремния в %: 70-20</v>
      </c>
      <c r="E195" s="638" t="str">
        <f>'13 Корпус CIL'!H163</f>
        <v>2908</v>
      </c>
      <c r="F195" s="637"/>
      <c r="G195" s="636"/>
      <c r="H195" s="637"/>
      <c r="I195" s="634"/>
      <c r="J195" s="635"/>
      <c r="L195" s="637">
        <f>'13 Корпус CIL'!I44</f>
        <v>2.8E-3</v>
      </c>
      <c r="M195" s="636">
        <f>'13 Корпус CIL'!J44</f>
        <v>2.2100000000000002E-2</v>
      </c>
      <c r="N195" s="637">
        <f>'13 Корпус CIL'!I163</f>
        <v>2.8E-3</v>
      </c>
      <c r="O195" s="636">
        <f>'13 Корпус CIL'!J163</f>
        <v>8.8300000000000003E-2</v>
      </c>
    </row>
    <row r="196" spans="2:15" ht="15" customHeight="1" x14ac:dyDescent="0.25">
      <c r="B196" s="1011"/>
      <c r="C196" s="525" t="s">
        <v>555</v>
      </c>
      <c r="D196" s="626" t="str">
        <f>'13 Корпус CIL'!G164</f>
        <v>Гидроцианид</v>
      </c>
      <c r="E196" s="631" t="str">
        <f>'13 Корпус CIL'!H164</f>
        <v>0317</v>
      </c>
      <c r="F196" s="630"/>
      <c r="G196" s="629"/>
      <c r="H196" s="630"/>
      <c r="I196" s="627"/>
      <c r="J196" s="628"/>
      <c r="K196" s="659"/>
      <c r="L196" s="630">
        <f>'13 Корпус CIL'!I45</f>
        <v>2.2000000000000001E-4</v>
      </c>
      <c r="M196" s="629">
        <f>'13 Корпус CIL'!J45</f>
        <v>1.73E-3</v>
      </c>
      <c r="N196" s="630">
        <f>'13 Корпус CIL'!I164</f>
        <v>2.2000000000000001E-4</v>
      </c>
      <c r="O196" s="629">
        <f>'13 Корпус CIL'!J164</f>
        <v>6.94E-3</v>
      </c>
    </row>
    <row r="197" spans="2:15" ht="15" customHeight="1" x14ac:dyDescent="0.25">
      <c r="B197" s="1011"/>
      <c r="C197" s="528"/>
      <c r="D197" s="633" t="str">
        <f>'13 Корпус CIL'!G165</f>
        <v>Гидроксид натрия</v>
      </c>
      <c r="E197" s="638" t="str">
        <f>'13 Корпус CIL'!H165</f>
        <v>0150</v>
      </c>
      <c r="F197" s="637"/>
      <c r="G197" s="636"/>
      <c r="H197" s="637"/>
      <c r="I197" s="634"/>
      <c r="J197" s="635"/>
      <c r="L197" s="637">
        <f>'13 Корпус CIL'!I46</f>
        <v>1.16E-3</v>
      </c>
      <c r="M197" s="636">
        <f>'13 Корпус CIL'!J46</f>
        <v>9.1500000000000001E-3</v>
      </c>
      <c r="N197" s="637">
        <f>'13 Корпус CIL'!I165</f>
        <v>1.16E-3</v>
      </c>
      <c r="O197" s="636">
        <f>'13 Корпус CIL'!J165</f>
        <v>3.6580000000000001E-2</v>
      </c>
    </row>
    <row r="198" spans="2:15" ht="15" customHeight="1" x14ac:dyDescent="0.25">
      <c r="B198" s="1011"/>
      <c r="C198" s="528"/>
      <c r="D198" s="633" t="str">
        <f>'13 Корпус CIL'!G166</f>
        <v>Аммиак</v>
      </c>
      <c r="E198" s="638" t="str">
        <f>'13 Корпус CIL'!H166</f>
        <v>0303</v>
      </c>
      <c r="F198" s="637"/>
      <c r="G198" s="636"/>
      <c r="H198" s="637"/>
      <c r="I198" s="634"/>
      <c r="J198" s="635"/>
      <c r="L198" s="637">
        <f>'13 Корпус CIL'!I47</f>
        <v>3.3300000000000001E-3</v>
      </c>
      <c r="M198" s="636">
        <f>'13 Корпус CIL'!J47</f>
        <v>2.6249999999999999E-2</v>
      </c>
      <c r="N198" s="637">
        <f>'13 Корпус CIL'!I166</f>
        <v>3.3300000000000001E-3</v>
      </c>
      <c r="O198" s="636">
        <f>'13 Корпус CIL'!J166</f>
        <v>0.10501000000000001</v>
      </c>
    </row>
    <row r="199" spans="2:15" s="530" customFormat="1" ht="26.25" customHeight="1" x14ac:dyDescent="0.25">
      <c r="B199" s="1011"/>
      <c r="C199" s="525" t="s">
        <v>556</v>
      </c>
      <c r="D199" s="647" t="str">
        <f>'13 Корпус CIL'!G167</f>
        <v>Серная кислота</v>
      </c>
      <c r="E199" s="676" t="str">
        <f>'13 Корпус CIL'!H167</f>
        <v>0322</v>
      </c>
      <c r="F199" s="649"/>
      <c r="G199" s="650"/>
      <c r="H199" s="649"/>
      <c r="I199" s="648"/>
      <c r="J199" s="651"/>
      <c r="K199" s="652"/>
      <c r="L199" s="649">
        <f>'13 Корпус CIL'!I48</f>
        <v>9.2000000000000003E-4</v>
      </c>
      <c r="M199" s="650">
        <f>'13 Корпус CIL'!J48</f>
        <v>7.3000000000000001E-3</v>
      </c>
      <c r="N199" s="649">
        <f>'13 Корпус CIL'!I167</f>
        <v>9.2000000000000003E-4</v>
      </c>
      <c r="O199" s="650">
        <f>'13 Корпус CIL'!J167</f>
        <v>2.9000000000000001E-2</v>
      </c>
    </row>
    <row r="200" spans="2:15" ht="15" customHeight="1" x14ac:dyDescent="0.25">
      <c r="B200" s="1011"/>
      <c r="C200" s="525" t="s">
        <v>557</v>
      </c>
      <c r="D200" s="626" t="str">
        <f>'13 Корпус CIL'!G168</f>
        <v>Сульфаминовая кислота (Аминосульфоновая кислота)</v>
      </c>
      <c r="E200" s="631" t="str">
        <f>'13 Корпус CIL'!H168</f>
        <v>1549</v>
      </c>
      <c r="F200" s="630"/>
      <c r="G200" s="629"/>
      <c r="H200" s="630"/>
      <c r="I200" s="627"/>
      <c r="J200" s="628"/>
      <c r="K200" s="659"/>
      <c r="L200" s="630">
        <f>'13 Корпус CIL'!I49</f>
        <v>2.5200000000000001E-3</v>
      </c>
      <c r="M200" s="629">
        <f>'13 Корпус CIL'!J49</f>
        <v>1.9869999999999999E-2</v>
      </c>
      <c r="N200" s="630">
        <f>'13 Корпус CIL'!I168</f>
        <v>2.5200000000000001E-3</v>
      </c>
      <c r="O200" s="629">
        <f>'13 Корпус CIL'!J168</f>
        <v>7.9469999999999999E-2</v>
      </c>
    </row>
    <row r="201" spans="2:15" ht="15" customHeight="1" x14ac:dyDescent="0.25">
      <c r="B201" s="1011"/>
      <c r="C201" s="528"/>
      <c r="D201" s="633" t="str">
        <f>'13 Корпус CIL'!G169</f>
        <v>Гидроксид натрия</v>
      </c>
      <c r="E201" s="638" t="str">
        <f>'13 Корпус CIL'!H169</f>
        <v>0150</v>
      </c>
      <c r="F201" s="637"/>
      <c r="G201" s="636"/>
      <c r="H201" s="637"/>
      <c r="I201" s="634"/>
      <c r="J201" s="635"/>
      <c r="L201" s="637">
        <f>'13 Корпус CIL'!I50</f>
        <v>2.7499999999999998E-3</v>
      </c>
      <c r="M201" s="636">
        <f>'13 Корпус CIL'!J50</f>
        <v>2.1680000000000001E-2</v>
      </c>
      <c r="N201" s="637">
        <f>'13 Корпус CIL'!I169</f>
        <v>2.7499999999999998E-3</v>
      </c>
      <c r="O201" s="636">
        <f>'13 Корпус CIL'!J169</f>
        <v>8.6720000000000005E-2</v>
      </c>
    </row>
    <row r="202" spans="2:15" ht="15" customHeight="1" x14ac:dyDescent="0.25">
      <c r="B202" s="1011"/>
      <c r="C202" s="528"/>
      <c r="D202" s="633" t="str">
        <f>'13 Корпус CIL'!G170</f>
        <v>Гидроцианид</v>
      </c>
      <c r="E202" s="638" t="str">
        <f>'13 Корпус CIL'!H170</f>
        <v>0317</v>
      </c>
      <c r="F202" s="637"/>
      <c r="G202" s="636"/>
      <c r="H202" s="637"/>
      <c r="I202" s="634"/>
      <c r="J202" s="635"/>
      <c r="L202" s="637">
        <f>'13 Корпус CIL'!I51</f>
        <v>2.8800000000000002E-3</v>
      </c>
      <c r="M202" s="636">
        <f>'13 Корпус CIL'!J51</f>
        <v>2.2710000000000001E-2</v>
      </c>
      <c r="N202" s="637">
        <f>'13 Корпус CIL'!I170</f>
        <v>2.8800000000000002E-3</v>
      </c>
      <c r="O202" s="636">
        <f>'13 Корпус CIL'!J170</f>
        <v>9.0819999999999998E-2</v>
      </c>
    </row>
    <row r="203" spans="2:15" ht="15" customHeight="1" x14ac:dyDescent="0.25">
      <c r="B203" s="1011"/>
      <c r="C203" s="528"/>
      <c r="D203" s="633" t="str">
        <f>'13 Корпус CIL'!G171</f>
        <v>Железо сульфат</v>
      </c>
      <c r="E203" s="638" t="str">
        <f>'13 Корпус CIL'!H171</f>
        <v>0121</v>
      </c>
      <c r="F203" s="637"/>
      <c r="G203" s="636"/>
      <c r="H203" s="637"/>
      <c r="I203" s="634"/>
      <c r="J203" s="635"/>
      <c r="L203" s="637">
        <f>'13 Корпус CIL'!I52</f>
        <v>3.8999999999999999E-4</v>
      </c>
      <c r="M203" s="636">
        <f>'13 Корпус CIL'!J52</f>
        <v>3.0999999999999999E-3</v>
      </c>
      <c r="N203" s="637">
        <f>'13 Корпус CIL'!I171</f>
        <v>3.8999999999999999E-4</v>
      </c>
      <c r="O203" s="636">
        <f>'13 Корпус CIL'!J171</f>
        <v>1.23E-2</v>
      </c>
    </row>
    <row r="204" spans="2:15" ht="15" customHeight="1" x14ac:dyDescent="0.25">
      <c r="B204" s="1011"/>
      <c r="C204" s="528"/>
      <c r="D204" s="633" t="str">
        <f>'13 Корпус CIL'!G172</f>
        <v>Натрий гидросульфит (Натрия бисульфит)</v>
      </c>
      <c r="E204" s="638" t="str">
        <f>'13 Корпус CIL'!H172</f>
        <v>3152</v>
      </c>
      <c r="F204" s="637"/>
      <c r="G204" s="636"/>
      <c r="H204" s="637"/>
      <c r="I204" s="634"/>
      <c r="J204" s="635"/>
      <c r="L204" s="637">
        <f>'13 Корпус CIL'!I53</f>
        <v>2.5200000000000001E-3</v>
      </c>
      <c r="M204" s="636">
        <f>'13 Корпус CIL'!J53</f>
        <v>1.9869999999999999E-2</v>
      </c>
      <c r="N204" s="637">
        <f>'13 Корпус CIL'!I172</f>
        <v>2.5200000000000001E-3</v>
      </c>
      <c r="O204" s="636">
        <f>'13 Корпус CIL'!J172</f>
        <v>7.9469999999999999E-2</v>
      </c>
    </row>
    <row r="205" spans="2:15" ht="15" customHeight="1" x14ac:dyDescent="0.25">
      <c r="B205" s="1011"/>
      <c r="C205" s="525" t="s">
        <v>559</v>
      </c>
      <c r="D205" s="626" t="str">
        <f>'13 Корпус CIL'!G173</f>
        <v xml:space="preserve">Углерод оксид </v>
      </c>
      <c r="E205" s="631" t="str">
        <f>'13 Корпус CIL'!H173</f>
        <v>0337</v>
      </c>
      <c r="F205" s="630"/>
      <c r="G205" s="629"/>
      <c r="H205" s="630"/>
      <c r="I205" s="627"/>
      <c r="J205" s="628"/>
      <c r="K205" s="659"/>
      <c r="L205" s="630">
        <f>'13 Корпус CIL'!I54</f>
        <v>1.1100000000000001E-3</v>
      </c>
      <c r="M205" s="629">
        <f>'13 Корпус CIL'!J54</f>
        <v>8.7500000000000008E-3</v>
      </c>
      <c r="N205" s="630">
        <f>'13 Корпус CIL'!I173</f>
        <v>1.1100000000000001E-3</v>
      </c>
      <c r="O205" s="629">
        <f>'13 Корпус CIL'!J173</f>
        <v>3.5000000000000003E-2</v>
      </c>
    </row>
    <row r="206" spans="2:15" ht="15" customHeight="1" x14ac:dyDescent="0.25">
      <c r="B206" s="1011"/>
      <c r="C206" s="528"/>
      <c r="D206" s="633" t="str">
        <f>'13 Корпус CIL'!G174</f>
        <v>Оксид азота</v>
      </c>
      <c r="E206" s="638" t="str">
        <f>'13 Корпус CIL'!H174</f>
        <v>0304</v>
      </c>
      <c r="F206" s="637"/>
      <c r="G206" s="636"/>
      <c r="H206" s="637"/>
      <c r="I206" s="634"/>
      <c r="J206" s="635"/>
      <c r="L206" s="637">
        <f>'13 Корпус CIL'!I55</f>
        <v>5.5999999999999995E-4</v>
      </c>
      <c r="M206" s="636">
        <f>'13 Корпус CIL'!J55</f>
        <v>4.4200000000000003E-3</v>
      </c>
      <c r="N206" s="637">
        <f>'13 Корпус CIL'!I174</f>
        <v>5.5999999999999995E-4</v>
      </c>
      <c r="O206" s="636">
        <f>'13 Корпус CIL'!J174</f>
        <v>1.7659999999999999E-2</v>
      </c>
    </row>
    <row r="207" spans="2:15" ht="15" customHeight="1" x14ac:dyDescent="0.25">
      <c r="B207" s="1011"/>
      <c r="C207" s="528"/>
      <c r="D207" s="633" t="str">
        <f>'13 Корпус CIL'!G175</f>
        <v>Пыль неорганическая, содержащая двуокись кремния в %: 70-20</v>
      </c>
      <c r="E207" s="638" t="str">
        <f>'13 Корпус CIL'!H175</f>
        <v>2908</v>
      </c>
      <c r="F207" s="637"/>
      <c r="G207" s="636"/>
      <c r="H207" s="637"/>
      <c r="I207" s="634"/>
      <c r="J207" s="635"/>
      <c r="L207" s="637">
        <f>'13 Корпус CIL'!I56</f>
        <v>5.2999999999999998E-4</v>
      </c>
      <c r="M207" s="636">
        <f>'13 Корпус CIL'!J56</f>
        <v>4.1799999999999997E-3</v>
      </c>
      <c r="N207" s="637">
        <f>'13 Корпус CIL'!I175</f>
        <v>5.2999999999999998E-4</v>
      </c>
      <c r="O207" s="636">
        <f>'13 Корпус CIL'!J175</f>
        <v>1.6709999999999999E-2</v>
      </c>
    </row>
    <row r="208" spans="2:15" ht="15" customHeight="1" x14ac:dyDescent="0.25">
      <c r="B208" s="1011"/>
      <c r="C208" s="528"/>
      <c r="D208" s="633" t="str">
        <f>'13 Корпус CIL'!G176</f>
        <v>Серная кислота</v>
      </c>
      <c r="E208" s="638" t="str">
        <f>'13 Корпус CIL'!H176</f>
        <v>0322</v>
      </c>
      <c r="F208" s="637"/>
      <c r="G208" s="636"/>
      <c r="H208" s="637"/>
      <c r="I208" s="634"/>
      <c r="J208" s="635"/>
      <c r="L208" s="637">
        <f>'13 Корпус CIL'!I57</f>
        <v>1.7000000000000001E-4</v>
      </c>
      <c r="M208" s="636">
        <f>'13 Корпус CIL'!J57</f>
        <v>1.2999999999999999E-3</v>
      </c>
      <c r="N208" s="637">
        <f>'13 Корпус CIL'!I176</f>
        <v>1.7000000000000001E-4</v>
      </c>
      <c r="O208" s="636">
        <f>'13 Корпус CIL'!J176</f>
        <v>5.4000000000000003E-3</v>
      </c>
    </row>
    <row r="209" spans="2:15" ht="15" customHeight="1" x14ac:dyDescent="0.25">
      <c r="B209" s="1011"/>
      <c r="C209" s="528"/>
      <c r="D209" s="633" t="str">
        <f>'13 Корпус CIL'!G177</f>
        <v>Диоксид серы</v>
      </c>
      <c r="E209" s="638" t="str">
        <f>'13 Корпус CIL'!H177</f>
        <v>0330</v>
      </c>
      <c r="F209" s="637"/>
      <c r="G209" s="636"/>
      <c r="H209" s="637"/>
      <c r="I209" s="634"/>
      <c r="J209" s="635"/>
      <c r="L209" s="637">
        <f>'13 Корпус CIL'!I58</f>
        <v>1.1100000000000001E-3</v>
      </c>
      <c r="M209" s="636">
        <f>'13 Корпус CIL'!J58</f>
        <v>8.7500000000000008E-3</v>
      </c>
      <c r="N209" s="637">
        <f>'13 Корпус CIL'!I177</f>
        <v>1.1100000000000001E-3</v>
      </c>
      <c r="O209" s="636">
        <f>'13 Корпус CIL'!J177</f>
        <v>3.5000000000000003E-2</v>
      </c>
    </row>
    <row r="210" spans="2:15" s="530" customFormat="1" ht="48" customHeight="1" x14ac:dyDescent="0.25">
      <c r="B210" s="1011"/>
      <c r="C210" s="525" t="s">
        <v>569</v>
      </c>
      <c r="D210" s="647" t="str">
        <f>'13 Корпус CIL'!G178</f>
        <v>Пыль неорганическая, содержащая двуокись кремния в %: 70-20</v>
      </c>
      <c r="E210" s="676" t="str">
        <f>'13 Корпус CIL'!H178</f>
        <v>2908</v>
      </c>
      <c r="F210" s="649"/>
      <c r="G210" s="650"/>
      <c r="H210" s="649"/>
      <c r="I210" s="648"/>
      <c r="J210" s="651"/>
      <c r="K210" s="652"/>
      <c r="L210" s="649">
        <f>'13 Корпус CIL'!I59</f>
        <v>2.8700000000000002E-3</v>
      </c>
      <c r="M210" s="650">
        <f>'13 Корпус CIL'!J59</f>
        <v>2.2599999999999999E-2</v>
      </c>
      <c r="N210" s="649">
        <f>'13 Корпус CIL'!I178</f>
        <v>2.8700000000000002E-3</v>
      </c>
      <c r="O210" s="650">
        <f>'13 Корпус CIL'!J178</f>
        <v>9.0499999999999997E-2</v>
      </c>
    </row>
    <row r="211" spans="2:15" ht="15" customHeight="1" x14ac:dyDescent="0.25">
      <c r="B211" s="1011"/>
      <c r="C211" s="525" t="s">
        <v>576</v>
      </c>
      <c r="D211" s="626" t="str">
        <f>'13 Корпус CIL'!G179</f>
        <v>Гидроцианид</v>
      </c>
      <c r="E211" s="631" t="str">
        <f>'13 Корпус CIL'!H179</f>
        <v>0317</v>
      </c>
      <c r="F211" s="630"/>
      <c r="G211" s="629"/>
      <c r="H211" s="630"/>
      <c r="I211" s="627"/>
      <c r="J211" s="628"/>
      <c r="K211" s="659"/>
      <c r="L211" s="630">
        <f>'13 Корпус CIL'!I60</f>
        <v>4.2000000000000002E-4</v>
      </c>
      <c r="M211" s="629">
        <f>'13 Корпус CIL'!J60</f>
        <v>1.57E-3</v>
      </c>
      <c r="N211" s="630">
        <f>'13 Корпус CIL'!I179</f>
        <v>4.2000000000000002E-4</v>
      </c>
      <c r="O211" s="629">
        <f>'13 Корпус CIL'!J179</f>
        <v>6.28E-3</v>
      </c>
    </row>
    <row r="212" spans="2:15" ht="15" customHeight="1" x14ac:dyDescent="0.25">
      <c r="B212" s="1011"/>
      <c r="C212" s="528"/>
      <c r="D212" s="633" t="str">
        <f>'13 Корпус CIL'!G180</f>
        <v>Дигидроксид кальция</v>
      </c>
      <c r="E212" s="638" t="str">
        <f>'13 Корпус CIL'!H180</f>
        <v>0214</v>
      </c>
      <c r="F212" s="637"/>
      <c r="G212" s="636"/>
      <c r="H212" s="637"/>
      <c r="I212" s="634"/>
      <c r="J212" s="635"/>
      <c r="L212" s="637">
        <f>'13 Корпус CIL'!I61</f>
        <v>6.0000000000000002E-5</v>
      </c>
      <c r="M212" s="636">
        <f>'13 Корпус CIL'!J61</f>
        <v>2.2000000000000001E-4</v>
      </c>
      <c r="N212" s="637">
        <f>'13 Корпус CIL'!I180</f>
        <v>6.0000000000000002E-5</v>
      </c>
      <c r="O212" s="636">
        <f>'13 Корпус CIL'!J180</f>
        <v>8.9999999999999998E-4</v>
      </c>
    </row>
    <row r="213" spans="2:15" ht="15" customHeight="1" x14ac:dyDescent="0.25">
      <c r="B213" s="1011"/>
      <c r="C213" s="528"/>
      <c r="D213" s="633" t="str">
        <f>'13 Корпус CIL'!G181</f>
        <v>Диоксид серы</v>
      </c>
      <c r="E213" s="638" t="str">
        <f>'13 Корпус CIL'!H181</f>
        <v>0330</v>
      </c>
      <c r="F213" s="637"/>
      <c r="G213" s="636"/>
      <c r="H213" s="637"/>
      <c r="I213" s="634"/>
      <c r="J213" s="635"/>
      <c r="L213" s="637">
        <f>'13 Корпус CIL'!I62</f>
        <v>1.48E-6</v>
      </c>
      <c r="M213" s="636">
        <f>'13 Корпус CIL'!J62</f>
        <v>1.0000000000000001E-5</v>
      </c>
      <c r="N213" s="637">
        <f>'13 Корпус CIL'!I181</f>
        <v>1.48E-6</v>
      </c>
      <c r="O213" s="636">
        <f>'13 Корпус CIL'!J181</f>
        <v>2.0000000000000002E-5</v>
      </c>
    </row>
    <row r="214" spans="2:15" ht="15" customHeight="1" x14ac:dyDescent="0.25">
      <c r="B214" s="1011"/>
      <c r="C214" s="528"/>
      <c r="D214" s="633" t="str">
        <f>'13 Корпус CIL'!G182</f>
        <v>Углерод</v>
      </c>
      <c r="E214" s="638" t="str">
        <f>'13 Корпус CIL'!H182</f>
        <v>0328</v>
      </c>
      <c r="F214" s="637"/>
      <c r="G214" s="636"/>
      <c r="H214" s="637"/>
      <c r="I214" s="634"/>
      <c r="J214" s="635"/>
      <c r="L214" s="637">
        <f>'13 Корпус CIL'!I63</f>
        <v>6.9999999999999994E-5</v>
      </c>
      <c r="M214" s="636">
        <f>'13 Корпус CIL'!J63</f>
        <v>2.5999999999999998E-4</v>
      </c>
      <c r="N214" s="637">
        <f>'13 Корпус CIL'!I182</f>
        <v>6.9999999999999994E-5</v>
      </c>
      <c r="O214" s="636">
        <f>'13 Корпус CIL'!J182</f>
        <v>1.0499999999999999E-3</v>
      </c>
    </row>
    <row r="215" spans="2:15" ht="15" customHeight="1" x14ac:dyDescent="0.25">
      <c r="B215" s="1011"/>
      <c r="C215" s="525" t="s">
        <v>578</v>
      </c>
      <c r="D215" s="626" t="str">
        <f>'13 Корпус CIL'!G183</f>
        <v>Гидроцианид</v>
      </c>
      <c r="E215" s="631" t="str">
        <f>'13 Корпус CIL'!H183</f>
        <v>0317</v>
      </c>
      <c r="F215" s="630"/>
      <c r="G215" s="629"/>
      <c r="H215" s="630"/>
      <c r="I215" s="627"/>
      <c r="J215" s="628"/>
      <c r="K215" s="659"/>
      <c r="L215" s="630">
        <f>'13 Корпус CIL'!I64</f>
        <v>1.8199999999999999E-6</v>
      </c>
      <c r="M215" s="629">
        <f>'13 Корпус CIL'!J64</f>
        <v>1.0000000000000001E-5</v>
      </c>
      <c r="N215" s="630">
        <f>'13 Корпус CIL'!I183</f>
        <v>1.8199999999999999E-6</v>
      </c>
      <c r="O215" s="629">
        <f>'13 Корпус CIL'!J183</f>
        <v>3.0000000000000001E-5</v>
      </c>
    </row>
    <row r="216" spans="2:15" ht="15" customHeight="1" x14ac:dyDescent="0.25">
      <c r="B216" s="1011"/>
      <c r="C216" s="528"/>
      <c r="D216" s="633" t="str">
        <f>'13 Корпус CIL'!G184</f>
        <v>Диоксид серы</v>
      </c>
      <c r="E216" s="638" t="str">
        <f>'13 Корпус CIL'!H184</f>
        <v>0330</v>
      </c>
      <c r="F216" s="637"/>
      <c r="G216" s="636"/>
      <c r="H216" s="637"/>
      <c r="I216" s="634"/>
      <c r="J216" s="635"/>
      <c r="L216" s="637">
        <f>'13 Корпус CIL'!I65</f>
        <v>1.8199999999999999E-6</v>
      </c>
      <c r="M216" s="636">
        <f>'13 Корпус CIL'!J65</f>
        <v>1.0000000000000001E-5</v>
      </c>
      <c r="N216" s="637">
        <f>'13 Корпус CIL'!I184</f>
        <v>1.8199999999999999E-6</v>
      </c>
      <c r="O216" s="636">
        <f>'13 Корпус CIL'!J184</f>
        <v>3.0000000000000001E-5</v>
      </c>
    </row>
    <row r="217" spans="2:15" ht="15" customHeight="1" x14ac:dyDescent="0.25">
      <c r="B217" s="1011"/>
      <c r="C217" s="525" t="s">
        <v>582</v>
      </c>
      <c r="D217" s="626" t="str">
        <f>'13 Корпус CIL'!G185</f>
        <v>Гидроцианид</v>
      </c>
      <c r="E217" s="631" t="str">
        <f>'13 Корпус CIL'!H185</f>
        <v>0317</v>
      </c>
      <c r="F217" s="630"/>
      <c r="G217" s="629"/>
      <c r="H217" s="630"/>
      <c r="I217" s="627"/>
      <c r="J217" s="628"/>
      <c r="K217" s="659"/>
      <c r="L217" s="630">
        <f>'13 Корпус CIL'!I66</f>
        <v>5.0000000000000002E-5</v>
      </c>
      <c r="M217" s="629">
        <f>'13 Корпус CIL'!J66</f>
        <v>1.9000000000000001E-4</v>
      </c>
      <c r="N217" s="630">
        <f>'13 Корпус CIL'!I185</f>
        <v>5.0000000000000002E-5</v>
      </c>
      <c r="O217" s="629">
        <f>'13 Корпус CIL'!J185</f>
        <v>7.5000000000000002E-4</v>
      </c>
    </row>
    <row r="218" spans="2:15" ht="15" customHeight="1" x14ac:dyDescent="0.25">
      <c r="B218" s="1011"/>
      <c r="C218" s="528"/>
      <c r="D218" s="633" t="str">
        <f>'13 Корпус CIL'!G186</f>
        <v>Дигидроксид кальция</v>
      </c>
      <c r="E218" s="638" t="str">
        <f>'13 Корпус CIL'!H186</f>
        <v>0214</v>
      </c>
      <c r="F218" s="637"/>
      <c r="G218" s="636"/>
      <c r="H218" s="637"/>
      <c r="I218" s="634"/>
      <c r="J218" s="635"/>
      <c r="L218" s="637">
        <f>'13 Корпус CIL'!I67</f>
        <v>1.0000000000000001E-5</v>
      </c>
      <c r="M218" s="636">
        <f>'13 Корпус CIL'!J67</f>
        <v>4.0000000000000003E-5</v>
      </c>
      <c r="N218" s="637">
        <f>'13 Корпус CIL'!I186</f>
        <v>1.0000000000000001E-5</v>
      </c>
      <c r="O218" s="636">
        <f>'13 Корпус CIL'!J186</f>
        <v>1.4999999999999999E-4</v>
      </c>
    </row>
    <row r="219" spans="2:15" ht="15" customHeight="1" x14ac:dyDescent="0.25">
      <c r="B219" s="1011"/>
      <c r="C219" s="528"/>
      <c r="D219" s="633" t="str">
        <f>'13 Корпус CIL'!G187</f>
        <v>Кальций карбонат</v>
      </c>
      <c r="E219" s="638" t="str">
        <f>'13 Корпус CIL'!H187</f>
        <v>3119</v>
      </c>
      <c r="F219" s="637"/>
      <c r="G219" s="636"/>
      <c r="H219" s="637"/>
      <c r="I219" s="634"/>
      <c r="J219" s="635"/>
      <c r="L219" s="637">
        <f>'13 Корпус CIL'!I68</f>
        <v>4.8900000000000002E-3</v>
      </c>
      <c r="M219" s="636">
        <f>'13 Корпус CIL'!J68</f>
        <v>1.8270000000000002E-2</v>
      </c>
      <c r="N219" s="637">
        <f>'13 Корпус CIL'!I187</f>
        <v>4.8900000000000002E-3</v>
      </c>
      <c r="O219" s="636">
        <f>'13 Корпус CIL'!J187</f>
        <v>7.3090000000000002E-2</v>
      </c>
    </row>
    <row r="220" spans="2:15" ht="15" customHeight="1" x14ac:dyDescent="0.25">
      <c r="B220" s="1011"/>
      <c r="C220" s="528"/>
      <c r="D220" s="633" t="str">
        <f>'13 Корпус CIL'!G188</f>
        <v>Кальций оксид</v>
      </c>
      <c r="E220" s="638" t="str">
        <f>'13 Корпус CIL'!H188</f>
        <v>0128</v>
      </c>
      <c r="F220" s="637"/>
      <c r="G220" s="636"/>
      <c r="H220" s="637"/>
      <c r="I220" s="634"/>
      <c r="J220" s="635"/>
      <c r="L220" s="637">
        <f>'13 Корпус CIL'!I69</f>
        <v>1.83E-3</v>
      </c>
      <c r="M220" s="636">
        <f>'13 Корпус CIL'!J69</f>
        <v>6.7999999999999996E-3</v>
      </c>
      <c r="N220" s="637">
        <f>'13 Корпус CIL'!I188</f>
        <v>1.83E-3</v>
      </c>
      <c r="O220" s="636">
        <f>'13 Корпус CIL'!J188</f>
        <v>2.7400000000000001E-2</v>
      </c>
    </row>
    <row r="221" spans="2:15" ht="15" customHeight="1" x14ac:dyDescent="0.25">
      <c r="B221" s="1011"/>
      <c r="C221" s="525" t="s">
        <v>585</v>
      </c>
      <c r="D221" s="626" t="str">
        <f>'13 Корпус CIL'!G189</f>
        <v>Гидроцианид</v>
      </c>
      <c r="E221" s="631" t="str">
        <f>'13 Корпус CIL'!H189</f>
        <v>0317</v>
      </c>
      <c r="F221" s="630"/>
      <c r="G221" s="629"/>
      <c r="H221" s="630"/>
      <c r="I221" s="627"/>
      <c r="J221" s="628"/>
      <c r="K221" s="659"/>
      <c r="L221" s="630">
        <f>'13 Корпус CIL'!I70</f>
        <v>4.4000000000000002E-4</v>
      </c>
      <c r="M221" s="629">
        <f>'13 Корпус CIL'!J70</f>
        <v>1.64E-3</v>
      </c>
      <c r="N221" s="630">
        <f>'13 Корпус CIL'!I189</f>
        <v>4.4000000000000002E-4</v>
      </c>
      <c r="O221" s="629">
        <f>'13 Корпус CIL'!J189</f>
        <v>6.5799999999999999E-3</v>
      </c>
    </row>
    <row r="222" spans="2:15" ht="15" customHeight="1" x14ac:dyDescent="0.25">
      <c r="B222" s="1011"/>
      <c r="C222" s="528"/>
      <c r="D222" s="633" t="str">
        <f>'13 Корпус CIL'!G190</f>
        <v>Гидроксид натрия</v>
      </c>
      <c r="E222" s="638" t="str">
        <f>'13 Корпус CIL'!H190</f>
        <v>0150</v>
      </c>
      <c r="F222" s="637"/>
      <c r="G222" s="636"/>
      <c r="H222" s="637"/>
      <c r="I222" s="634"/>
      <c r="J222" s="635"/>
      <c r="L222" s="637">
        <f>'13 Корпус CIL'!I71</f>
        <v>1.0000000000000001E-5</v>
      </c>
      <c r="M222" s="636">
        <f>'13 Корпус CIL'!J71</f>
        <v>4.0000000000000003E-5</v>
      </c>
      <c r="N222" s="637">
        <f>'13 Корпус CIL'!I190</f>
        <v>1.0000000000000001E-5</v>
      </c>
      <c r="O222" s="636">
        <f>'13 Корпус CIL'!J190</f>
        <v>1.4999999999999999E-4</v>
      </c>
    </row>
    <row r="223" spans="2:15" ht="15" customHeight="1" x14ac:dyDescent="0.25">
      <c r="B223" s="1011"/>
      <c r="C223" s="528"/>
      <c r="D223" s="633" t="str">
        <f>'13 Корпус CIL'!G191</f>
        <v>Дигидроксид кальция</v>
      </c>
      <c r="E223" s="638" t="str">
        <f>'13 Корпус CIL'!H191</f>
        <v>0214</v>
      </c>
      <c r="F223" s="637"/>
      <c r="G223" s="636"/>
      <c r="H223" s="637"/>
      <c r="I223" s="634"/>
      <c r="J223" s="635"/>
      <c r="L223" s="637">
        <f>'13 Корпус CIL'!I72</f>
        <v>6.0000000000000002E-5</v>
      </c>
      <c r="M223" s="636">
        <f>'13 Корпус CIL'!J72</f>
        <v>2.2000000000000001E-4</v>
      </c>
      <c r="N223" s="637">
        <f>'13 Корпус CIL'!I191</f>
        <v>6.0000000000000002E-5</v>
      </c>
      <c r="O223" s="636">
        <f>'13 Корпус CIL'!J191</f>
        <v>8.9999999999999998E-4</v>
      </c>
    </row>
    <row r="224" spans="2:15" s="530" customFormat="1" ht="43.5" customHeight="1" x14ac:dyDescent="0.25">
      <c r="B224" s="1011"/>
      <c r="C224" s="528"/>
      <c r="D224" s="669" t="str">
        <f>'13 Корпус CIL'!G192</f>
        <v xml:space="preserve">Пыль неорганическая, содержащая двуокись кремния в %: более 70 </v>
      </c>
      <c r="E224" s="670" t="str">
        <f>'13 Корпус CIL'!H192</f>
        <v>2907</v>
      </c>
      <c r="F224" s="671"/>
      <c r="G224" s="672"/>
      <c r="H224" s="671"/>
      <c r="I224" s="673"/>
      <c r="J224" s="674"/>
      <c r="L224" s="671">
        <f>'13 Корпус CIL'!I73</f>
        <v>2.2000000000000001E-4</v>
      </c>
      <c r="M224" s="672">
        <f>'13 Корпус CIL'!J73</f>
        <v>8.0000000000000004E-4</v>
      </c>
      <c r="N224" s="671">
        <f>'13 Корпус CIL'!I192</f>
        <v>2.2000000000000001E-4</v>
      </c>
      <c r="O224" s="672">
        <f>'13 Корпус CIL'!J192</f>
        <v>3.3E-3</v>
      </c>
    </row>
    <row r="225" spans="2:15" s="530" customFormat="1" ht="15" customHeight="1" x14ac:dyDescent="0.25">
      <c r="B225" s="1011"/>
      <c r="C225" s="525" t="s">
        <v>589</v>
      </c>
      <c r="D225" s="647" t="str">
        <f>'13 Корпус CIL'!G193</f>
        <v>Гидроцианид</v>
      </c>
      <c r="E225" s="676" t="str">
        <f>'13 Корпус CIL'!H193</f>
        <v>0317</v>
      </c>
      <c r="F225" s="649"/>
      <c r="G225" s="650"/>
      <c r="H225" s="649"/>
      <c r="I225" s="648"/>
      <c r="J225" s="651"/>
      <c r="K225" s="652"/>
      <c r="L225" s="649">
        <f>'13 Корпус CIL'!I74</f>
        <v>4.4000000000000002E-4</v>
      </c>
      <c r="M225" s="650">
        <f>'13 Корпус CIL'!J74</f>
        <v>1.64E-3</v>
      </c>
      <c r="N225" s="649">
        <f>'13 Корпус CIL'!I193</f>
        <v>4.4000000000000002E-4</v>
      </c>
      <c r="O225" s="650">
        <f>'13 Корпус CIL'!J193</f>
        <v>6.5799999999999999E-3</v>
      </c>
    </row>
    <row r="226" spans="2:15" s="530" customFormat="1" ht="15" customHeight="1" x14ac:dyDescent="0.25">
      <c r="B226" s="1011"/>
      <c r="C226" s="528"/>
      <c r="D226" s="669" t="str">
        <f>'13 Корпус CIL'!G194</f>
        <v>Гидроксид натрия</v>
      </c>
      <c r="E226" s="670" t="str">
        <f>'13 Корпус CIL'!H194</f>
        <v>0150</v>
      </c>
      <c r="F226" s="671"/>
      <c r="G226" s="672"/>
      <c r="H226" s="671"/>
      <c r="I226" s="673"/>
      <c r="J226" s="674"/>
      <c r="L226" s="671">
        <f>'13 Корпус CIL'!I75</f>
        <v>1.0000000000000001E-5</v>
      </c>
      <c r="M226" s="672">
        <f>'13 Корпус CIL'!J75</f>
        <v>4.0000000000000003E-5</v>
      </c>
      <c r="N226" s="671">
        <f>'13 Корпус CIL'!I194</f>
        <v>1.0000000000000001E-5</v>
      </c>
      <c r="O226" s="672">
        <f>'13 Корпус CIL'!J194</f>
        <v>1.4999999999999999E-4</v>
      </c>
    </row>
    <row r="227" spans="2:15" s="530" customFormat="1" ht="15" customHeight="1" x14ac:dyDescent="0.25">
      <c r="B227" s="1011"/>
      <c r="C227" s="528"/>
      <c r="D227" s="669" t="str">
        <f>'13 Корпус CIL'!G195</f>
        <v>Дигидроксид кальция</v>
      </c>
      <c r="E227" s="670" t="str">
        <f>'13 Корпус CIL'!H195</f>
        <v>0214</v>
      </c>
      <c r="F227" s="671"/>
      <c r="G227" s="672"/>
      <c r="H227" s="671"/>
      <c r="I227" s="673"/>
      <c r="J227" s="674"/>
      <c r="L227" s="671">
        <f>'13 Корпус CIL'!I76</f>
        <v>6.0000000000000002E-5</v>
      </c>
      <c r="M227" s="672">
        <f>'13 Корпус CIL'!J76</f>
        <v>2.2000000000000001E-4</v>
      </c>
      <c r="N227" s="671">
        <f>'13 Корпус CIL'!I195</f>
        <v>6.0000000000000002E-5</v>
      </c>
      <c r="O227" s="672">
        <f>'13 Корпус CIL'!J195</f>
        <v>8.9999999999999998E-4</v>
      </c>
    </row>
    <row r="228" spans="2:15" s="530" customFormat="1" ht="30.75" customHeight="1" x14ac:dyDescent="0.25">
      <c r="B228" s="1011"/>
      <c r="C228" s="528"/>
      <c r="D228" s="653" t="str">
        <f>'13 Корпус CIL'!G196</f>
        <v xml:space="preserve">Пыль неорганическая, содержащая двуокись кремния в %: более 70 </v>
      </c>
      <c r="E228" s="675" t="str">
        <f>'13 Корпус CIL'!H196</f>
        <v>2907</v>
      </c>
      <c r="F228" s="655"/>
      <c r="G228" s="656"/>
      <c r="H228" s="655"/>
      <c r="I228" s="654"/>
      <c r="J228" s="657"/>
      <c r="K228" s="658"/>
      <c r="L228" s="655">
        <f>'13 Корпус CIL'!I77</f>
        <v>2.2000000000000001E-4</v>
      </c>
      <c r="M228" s="656">
        <f>'13 Корпус CIL'!J77</f>
        <v>8.0000000000000004E-4</v>
      </c>
      <c r="N228" s="655">
        <f>'13 Корпус CIL'!I196</f>
        <v>2.2000000000000001E-4</v>
      </c>
      <c r="O228" s="656">
        <f>'13 Корпус CIL'!J196</f>
        <v>3.3E-3</v>
      </c>
    </row>
    <row r="229" spans="2:15" s="530" customFormat="1" ht="26.25" customHeight="1" x14ac:dyDescent="0.25">
      <c r="B229" s="1011"/>
      <c r="C229" s="525" t="s">
        <v>594</v>
      </c>
      <c r="D229" s="669" t="str">
        <f>'13 Корпус CIL'!G197</f>
        <v>Гидроцианид</v>
      </c>
      <c r="E229" s="670" t="str">
        <f>'13 Корпус CIL'!H197</f>
        <v>0317</v>
      </c>
      <c r="F229" s="671"/>
      <c r="G229" s="672"/>
      <c r="H229" s="671"/>
      <c r="I229" s="673"/>
      <c r="J229" s="674"/>
      <c r="L229" s="671">
        <f>'13 Корпус CIL'!I78</f>
        <v>7.0200000000000002E-3</v>
      </c>
      <c r="M229" s="672">
        <f>'13 Корпус CIL'!J78</f>
        <v>5.5350000000000003E-2</v>
      </c>
      <c r="N229" s="671">
        <f>'13 Корпус CIL'!I197</f>
        <v>7.0200000000000002E-3</v>
      </c>
      <c r="O229" s="672">
        <f>'13 Корпус CIL'!J197</f>
        <v>0.22137999999999999</v>
      </c>
    </row>
    <row r="230" spans="2:15" ht="15" customHeight="1" x14ac:dyDescent="0.25">
      <c r="B230" s="1011"/>
      <c r="C230" s="525" t="s">
        <v>596</v>
      </c>
      <c r="D230" s="647" t="str">
        <f>'13 Корпус CIL'!G198</f>
        <v>Гидроцианид</v>
      </c>
      <c r="E230" s="676" t="str">
        <f>'13 Корпус CIL'!H198</f>
        <v>0317</v>
      </c>
      <c r="F230" s="649"/>
      <c r="G230" s="650"/>
      <c r="H230" s="649"/>
      <c r="I230" s="648"/>
      <c r="J230" s="651"/>
      <c r="K230" s="652"/>
      <c r="L230" s="649">
        <f>'13 Корпус CIL'!I79</f>
        <v>5.0000000000000001E-4</v>
      </c>
      <c r="M230" s="650">
        <f>'13 Корпус CIL'!J79</f>
        <v>3.9399999999999999E-3</v>
      </c>
      <c r="N230" s="649">
        <f>'13 Корпус CIL'!I198</f>
        <v>5.0000000000000001E-4</v>
      </c>
      <c r="O230" s="650">
        <f>'13 Корпус CIL'!J198</f>
        <v>1.5769999999999999E-2</v>
      </c>
    </row>
    <row r="231" spans="2:15" ht="15" customHeight="1" x14ac:dyDescent="0.25">
      <c r="B231" s="1011"/>
      <c r="C231" s="528"/>
      <c r="D231" s="669" t="str">
        <f>'13 Корпус CIL'!G199</f>
        <v>Дигидроксид кальция</v>
      </c>
      <c r="E231" s="670" t="str">
        <f>'13 Корпус CIL'!H199</f>
        <v>0214</v>
      </c>
      <c r="F231" s="671"/>
      <c r="G231" s="672"/>
      <c r="H231" s="671"/>
      <c r="I231" s="673"/>
      <c r="J231" s="674"/>
      <c r="K231" s="530"/>
      <c r="L231" s="671">
        <f>'13 Корпус CIL'!I80</f>
        <v>1.25E-3</v>
      </c>
      <c r="M231" s="672">
        <f>'13 Корпус CIL'!J80</f>
        <v>9.8600000000000007E-3</v>
      </c>
      <c r="N231" s="671">
        <f>'13 Корпус CIL'!I199</f>
        <v>1.25E-3</v>
      </c>
      <c r="O231" s="672">
        <f>'13 Корпус CIL'!J199</f>
        <v>3.9419999999999997E-2</v>
      </c>
    </row>
    <row r="232" spans="2:15" s="530" customFormat="1" ht="26.25" customHeight="1" x14ac:dyDescent="0.25">
      <c r="B232" s="1011"/>
      <c r="C232" s="525" t="s">
        <v>599</v>
      </c>
      <c r="D232" s="662" t="str">
        <f>'13 Корпус CIL'!G200</f>
        <v>Гидроцианид</v>
      </c>
      <c r="E232" s="663" t="str">
        <f>'13 Корпус CIL'!H200</f>
        <v>0317</v>
      </c>
      <c r="F232" s="664"/>
      <c r="G232" s="665"/>
      <c r="H232" s="664"/>
      <c r="I232" s="666"/>
      <c r="J232" s="667"/>
      <c r="K232" s="668"/>
      <c r="L232" s="664">
        <f>'13 Корпус CIL'!I81</f>
        <v>2.7999999999999998E-4</v>
      </c>
      <c r="M232" s="665">
        <f>'13 Корпус CIL'!J81</f>
        <v>2.2100000000000002E-3</v>
      </c>
      <c r="N232" s="664">
        <f>'13 Корпус CIL'!I200</f>
        <v>2.7999999999999998E-4</v>
      </c>
      <c r="O232" s="665">
        <f>'13 Корпус CIL'!J200</f>
        <v>8.8299999999999993E-3</v>
      </c>
    </row>
    <row r="233" spans="2:15" ht="26.25" customHeight="1" x14ac:dyDescent="0.25">
      <c r="B233" s="1011"/>
      <c r="C233" s="525" t="s">
        <v>601</v>
      </c>
      <c r="D233" s="662" t="str">
        <f>'13 Корпус CIL'!G201</f>
        <v>Углерод</v>
      </c>
      <c r="E233" s="663" t="str">
        <f>'13 Корпус CIL'!H201</f>
        <v>0328</v>
      </c>
      <c r="F233" s="664"/>
      <c r="G233" s="665"/>
      <c r="H233" s="664"/>
      <c r="I233" s="666"/>
      <c r="J233" s="667"/>
      <c r="K233" s="668"/>
      <c r="L233" s="664">
        <f>'13 Корпус CIL'!I82</f>
        <v>4.0000000000000003E-5</v>
      </c>
      <c r="M233" s="665">
        <f>'13 Корпус CIL'!J82</f>
        <v>3.2000000000000003E-4</v>
      </c>
      <c r="N233" s="664">
        <f>'13 Корпус CIL'!I201</f>
        <v>4.0000000000000003E-5</v>
      </c>
      <c r="O233" s="665">
        <f>'13 Корпус CIL'!J201</f>
        <v>1.2600000000000001E-3</v>
      </c>
    </row>
    <row r="234" spans="2:15" ht="15" customHeight="1" x14ac:dyDescent="0.25">
      <c r="B234" s="1011"/>
      <c r="C234" s="525" t="s">
        <v>604</v>
      </c>
      <c r="D234" s="647" t="str">
        <f>'13 Корпус CIL'!G202</f>
        <v>Гидроцианид</v>
      </c>
      <c r="E234" s="676" t="str">
        <f>'13 Корпус CIL'!H202</f>
        <v>0317</v>
      </c>
      <c r="F234" s="649"/>
      <c r="G234" s="650"/>
      <c r="H234" s="649"/>
      <c r="I234" s="648"/>
      <c r="J234" s="651"/>
      <c r="K234" s="652"/>
      <c r="L234" s="649">
        <f>'13 Корпус CIL'!I83</f>
        <v>1.2E-4</v>
      </c>
      <c r="M234" s="650">
        <f>'13 Корпус CIL'!J83</f>
        <v>9.5E-4</v>
      </c>
      <c r="N234" s="649">
        <f>'13 Корпус CIL'!I202</f>
        <v>1.2E-4</v>
      </c>
      <c r="O234" s="650">
        <f>'13 Корпус CIL'!J202</f>
        <v>3.7799999999999999E-3</v>
      </c>
    </row>
    <row r="235" spans="2:15" ht="15" customHeight="1" x14ac:dyDescent="0.25">
      <c r="B235" s="1011"/>
      <c r="C235" s="528"/>
      <c r="D235" s="653" t="str">
        <f>'13 Корпус CIL'!G203</f>
        <v>Дигидроксид кальция</v>
      </c>
      <c r="E235" s="675" t="str">
        <f>'13 Корпус CIL'!H203</f>
        <v>0214</v>
      </c>
      <c r="F235" s="655"/>
      <c r="G235" s="656"/>
      <c r="H235" s="655"/>
      <c r="I235" s="654"/>
      <c r="J235" s="657"/>
      <c r="K235" s="658"/>
      <c r="L235" s="655">
        <f>'13 Корпус CIL'!I84</f>
        <v>3.0000000000000001E-6</v>
      </c>
      <c r="M235" s="656">
        <f>'13 Корпус CIL'!J84</f>
        <v>2.0000000000000002E-5</v>
      </c>
      <c r="N235" s="655">
        <f>'13 Корпус CIL'!I203</f>
        <v>3.0000000000000001E-6</v>
      </c>
      <c r="O235" s="656">
        <f>'13 Корпус CIL'!J203</f>
        <v>9.0000000000000006E-5</v>
      </c>
    </row>
    <row r="236" spans="2:15" ht="15" customHeight="1" x14ac:dyDescent="0.25">
      <c r="B236" s="1011"/>
      <c r="C236" s="525" t="s">
        <v>606</v>
      </c>
      <c r="D236" s="647" t="str">
        <f>'13 Корпус CIL'!G204</f>
        <v>Гидроцианид</v>
      </c>
      <c r="E236" s="676" t="str">
        <f>'13 Корпус CIL'!H204</f>
        <v>0317</v>
      </c>
      <c r="F236" s="649"/>
      <c r="G236" s="650"/>
      <c r="H236" s="649"/>
      <c r="I236" s="648"/>
      <c r="J236" s="651"/>
      <c r="K236" s="652"/>
      <c r="L236" s="649">
        <f>'13 Корпус CIL'!I85</f>
        <v>5.2999999999999998E-4</v>
      </c>
      <c r="M236" s="650">
        <f>'13 Корпус CIL'!J85</f>
        <v>4.1799999999999997E-3</v>
      </c>
      <c r="N236" s="649">
        <f>'13 Корпус CIL'!I204</f>
        <v>5.2999999999999998E-4</v>
      </c>
      <c r="O236" s="650">
        <f>'13 Корпус CIL'!J204</f>
        <v>1.6709999999999999E-2</v>
      </c>
    </row>
    <row r="237" spans="2:15" ht="15" customHeight="1" x14ac:dyDescent="0.25">
      <c r="B237" s="1011"/>
      <c r="C237" s="528"/>
      <c r="D237" s="653" t="str">
        <f>'13 Корпус CIL'!G205</f>
        <v>Гидроксид натрия</v>
      </c>
      <c r="E237" s="675" t="str">
        <f>'13 Корпус CIL'!H205</f>
        <v>0150</v>
      </c>
      <c r="F237" s="655"/>
      <c r="G237" s="656"/>
      <c r="H237" s="655"/>
      <c r="I237" s="654"/>
      <c r="J237" s="657"/>
      <c r="K237" s="658"/>
      <c r="L237" s="655">
        <f>'13 Корпус CIL'!I86</f>
        <v>1.0000000000000001E-5</v>
      </c>
      <c r="M237" s="656">
        <f>'13 Корпус CIL'!J86</f>
        <v>8.0000000000000007E-5</v>
      </c>
      <c r="N237" s="655">
        <f>'13 Корпус CIL'!I205</f>
        <v>1.0000000000000001E-5</v>
      </c>
      <c r="O237" s="656">
        <f>'13 Корпус CIL'!J205</f>
        <v>3.2000000000000003E-4</v>
      </c>
    </row>
    <row r="238" spans="2:15" ht="15" customHeight="1" x14ac:dyDescent="0.25">
      <c r="B238" s="1011"/>
      <c r="C238" s="525" t="s">
        <v>609</v>
      </c>
      <c r="D238" s="647" t="str">
        <f>'13 Корпус CIL'!G206</f>
        <v>Гидроцианид</v>
      </c>
      <c r="E238" s="676" t="str">
        <f>'13 Корпус CIL'!H206</f>
        <v>0317</v>
      </c>
      <c r="F238" s="649"/>
      <c r="G238" s="650"/>
      <c r="H238" s="649"/>
      <c r="I238" s="648"/>
      <c r="J238" s="651"/>
      <c r="K238" s="652"/>
      <c r="L238" s="649">
        <f>'13 Корпус CIL'!I87</f>
        <v>4.0000000000000003E-5</v>
      </c>
      <c r="M238" s="650">
        <f>'13 Корпус CIL'!J87</f>
        <v>3.2000000000000003E-4</v>
      </c>
      <c r="N238" s="649">
        <f>'13 Корпус CIL'!I206</f>
        <v>4.0000000000000003E-5</v>
      </c>
      <c r="O238" s="650">
        <f>'13 Корпус CIL'!J206</f>
        <v>1.2600000000000001E-3</v>
      </c>
    </row>
    <row r="239" spans="2:15" ht="15" customHeight="1" x14ac:dyDescent="0.25">
      <c r="B239" s="1011"/>
      <c r="C239" s="528"/>
      <c r="D239" s="653" t="str">
        <f>'13 Корпус CIL'!G207</f>
        <v>Диоксид серы</v>
      </c>
      <c r="E239" s="675" t="str">
        <f>'13 Корпус CIL'!H207</f>
        <v>0330</v>
      </c>
      <c r="F239" s="655"/>
      <c r="G239" s="656"/>
      <c r="H239" s="655"/>
      <c r="I239" s="654"/>
      <c r="J239" s="657"/>
      <c r="K239" s="658"/>
      <c r="L239" s="655">
        <f>'13 Корпус CIL'!I88</f>
        <v>4.0000000000000003E-5</v>
      </c>
      <c r="M239" s="656">
        <f>'13 Корпус CIL'!J88</f>
        <v>3.2000000000000003E-4</v>
      </c>
      <c r="N239" s="655">
        <f>'13 Корпус CIL'!I207</f>
        <v>4.0000000000000003E-5</v>
      </c>
      <c r="O239" s="656">
        <f>'13 Корпус CIL'!J207</f>
        <v>1.2600000000000001E-3</v>
      </c>
    </row>
    <row r="240" spans="2:15" ht="24" customHeight="1" x14ac:dyDescent="0.25">
      <c r="B240" s="1011"/>
      <c r="C240" s="525" t="s">
        <v>611</v>
      </c>
      <c r="D240" s="662" t="str">
        <f>'13 Корпус CIL'!G208</f>
        <v>Диоксид серы</v>
      </c>
      <c r="E240" s="663" t="str">
        <f>'13 Корпус CIL'!H208</f>
        <v>0330</v>
      </c>
      <c r="F240" s="664"/>
      <c r="G240" s="665"/>
      <c r="H240" s="664"/>
      <c r="I240" s="666"/>
      <c r="J240" s="667"/>
      <c r="K240" s="668"/>
      <c r="L240" s="664">
        <f>'13 Корпус CIL'!I89</f>
        <v>3.0000000000000001E-5</v>
      </c>
      <c r="M240" s="665">
        <f>'13 Корпус CIL'!J89</f>
        <v>2.4000000000000001E-4</v>
      </c>
      <c r="N240" s="664">
        <f>'13 Корпус CIL'!I208</f>
        <v>3.0000000000000001E-5</v>
      </c>
      <c r="O240" s="665">
        <f>'13 Корпус CIL'!J208</f>
        <v>9.5E-4</v>
      </c>
    </row>
    <row r="241" spans="2:15" ht="26.25" customHeight="1" x14ac:dyDescent="0.25">
      <c r="B241" s="1011"/>
      <c r="C241" s="525" t="s">
        <v>613</v>
      </c>
      <c r="D241" s="647" t="str">
        <f>'13 Корпус CIL'!G209</f>
        <v>Гидроцианид</v>
      </c>
      <c r="E241" s="676" t="str">
        <f>'13 Корпус CIL'!H209</f>
        <v>0317</v>
      </c>
      <c r="F241" s="649"/>
      <c r="G241" s="650"/>
      <c r="H241" s="649"/>
      <c r="I241" s="648"/>
      <c r="J241" s="651"/>
      <c r="K241" s="652"/>
      <c r="L241" s="649">
        <f>'13 Корпус CIL'!I90</f>
        <v>2.5000000000000001E-4</v>
      </c>
      <c r="M241" s="650">
        <f>'13 Корпус CIL'!J90</f>
        <v>1.97E-3</v>
      </c>
      <c r="N241" s="649">
        <f>'13 Корпус CIL'!I209</f>
        <v>2.5000000000000001E-4</v>
      </c>
      <c r="O241" s="650">
        <f>'13 Корпус CIL'!J209</f>
        <v>7.8799999999999999E-3</v>
      </c>
    </row>
    <row r="242" spans="2:15" ht="15" customHeight="1" x14ac:dyDescent="0.25">
      <c r="B242" s="1011"/>
      <c r="C242" s="528"/>
      <c r="D242" s="653" t="str">
        <f>'13 Корпус CIL'!G210</f>
        <v>Дигидроксид кальция</v>
      </c>
      <c r="E242" s="675" t="str">
        <f>'13 Корпус CIL'!H210</f>
        <v>0214</v>
      </c>
      <c r="F242" s="655"/>
      <c r="G242" s="656"/>
      <c r="H242" s="655"/>
      <c r="I242" s="654"/>
      <c r="J242" s="657"/>
      <c r="K242" s="658"/>
      <c r="L242" s="655">
        <f>'13 Корпус CIL'!I91</f>
        <v>7.5000000000000002E-4</v>
      </c>
      <c r="M242" s="656">
        <f>'13 Корпус CIL'!J91</f>
        <v>5.9100000000000003E-3</v>
      </c>
      <c r="N242" s="655">
        <f>'13 Корпус CIL'!I210</f>
        <v>7.5000000000000002E-4</v>
      </c>
      <c r="O242" s="656">
        <f>'13 Корпус CIL'!J210</f>
        <v>2.3650000000000001E-2</v>
      </c>
    </row>
    <row r="243" spans="2:15" ht="15" customHeight="1" x14ac:dyDescent="0.25">
      <c r="B243" s="1011"/>
      <c r="C243" s="525" t="s">
        <v>615</v>
      </c>
      <c r="D243" s="647" t="str">
        <f>'13 Корпус CIL'!G211</f>
        <v>Гидроцианид</v>
      </c>
      <c r="E243" s="676" t="str">
        <f>'13 Корпус CIL'!H211</f>
        <v>0317</v>
      </c>
      <c r="F243" s="649"/>
      <c r="G243" s="650"/>
      <c r="H243" s="649"/>
      <c r="I243" s="648"/>
      <c r="J243" s="651"/>
      <c r="K243" s="652"/>
      <c r="L243" s="649">
        <f>'13 Корпус CIL'!I92</f>
        <v>1.3999999999999999E-4</v>
      </c>
      <c r="M243" s="650">
        <f>'13 Корпус CIL'!J92</f>
        <v>1.1000000000000001E-3</v>
      </c>
      <c r="N243" s="649">
        <f>'13 Корпус CIL'!I211</f>
        <v>1.3999999999999999E-4</v>
      </c>
      <c r="O243" s="650">
        <f>'13 Корпус CIL'!J211</f>
        <v>4.4200000000000003E-3</v>
      </c>
    </row>
    <row r="244" spans="2:15" ht="15" customHeight="1" x14ac:dyDescent="0.25">
      <c r="B244" s="1011"/>
      <c r="C244" s="528"/>
      <c r="D244" s="669" t="str">
        <f>'13 Корпус CIL'!G212</f>
        <v>Сульфаминовая кислота (Аминосульфоновая кислота)</v>
      </c>
      <c r="E244" s="670" t="str">
        <f>'13 Корпус CIL'!H212</f>
        <v>1549</v>
      </c>
      <c r="F244" s="671"/>
      <c r="G244" s="672"/>
      <c r="H244" s="671"/>
      <c r="I244" s="673"/>
      <c r="J244" s="674"/>
      <c r="K244" s="530"/>
      <c r="L244" s="671">
        <f>'13 Корпус CIL'!I93</f>
        <v>2.4000000000000001E-4</v>
      </c>
      <c r="M244" s="672">
        <f>'13 Корпус CIL'!J93</f>
        <v>1.89E-3</v>
      </c>
      <c r="N244" s="671">
        <f>'13 Корпус CIL'!I212</f>
        <v>2.4000000000000001E-4</v>
      </c>
      <c r="O244" s="672">
        <f>'13 Корпус CIL'!J212</f>
        <v>7.5700000000000003E-3</v>
      </c>
    </row>
    <row r="245" spans="2:15" ht="15" customHeight="1" x14ac:dyDescent="0.25">
      <c r="B245" s="1011"/>
      <c r="C245" s="528"/>
      <c r="D245" s="669" t="str">
        <f>'13 Корпус CIL'!G213</f>
        <v>Гидроксид натрия</v>
      </c>
      <c r="E245" s="670" t="str">
        <f>'13 Корпус CIL'!H213</f>
        <v>0150</v>
      </c>
      <c r="F245" s="671"/>
      <c r="G245" s="672"/>
      <c r="H245" s="671"/>
      <c r="I245" s="673"/>
      <c r="J245" s="674"/>
      <c r="K245" s="530"/>
      <c r="L245" s="671">
        <f>'13 Корпус CIL'!I94</f>
        <v>1.6000000000000001E-4</v>
      </c>
      <c r="M245" s="672">
        <f>'13 Корпус CIL'!J94</f>
        <v>1.2600000000000001E-3</v>
      </c>
      <c r="N245" s="671">
        <f>'13 Корпус CIL'!I213</f>
        <v>1.6000000000000001E-4</v>
      </c>
      <c r="O245" s="672">
        <f>'13 Корпус CIL'!J213</f>
        <v>5.0499999999999998E-3</v>
      </c>
    </row>
    <row r="246" spans="2:15" ht="15" customHeight="1" x14ac:dyDescent="0.25">
      <c r="B246" s="1011"/>
      <c r="C246" s="525" t="s">
        <v>616</v>
      </c>
      <c r="D246" s="647" t="str">
        <f>'13 Корпус CIL'!G214</f>
        <v>Гидроцианид</v>
      </c>
      <c r="E246" s="676" t="str">
        <f>'13 Корпус CIL'!H214</f>
        <v>0317</v>
      </c>
      <c r="F246" s="649"/>
      <c r="G246" s="650"/>
      <c r="H246" s="649"/>
      <c r="I246" s="648"/>
      <c r="J246" s="651"/>
      <c r="K246" s="652"/>
      <c r="L246" s="649">
        <f>'13 Корпус CIL'!I95</f>
        <v>1.065E-2</v>
      </c>
      <c r="M246" s="650">
        <f>'13 Корпус CIL'!J95</f>
        <v>8.3960000000000007E-2</v>
      </c>
      <c r="N246" s="649">
        <f>'13 Корпус CIL'!I214</f>
        <v>1.065E-2</v>
      </c>
      <c r="O246" s="650">
        <f>'13 Корпус CIL'!J214</f>
        <v>0.33585999999999999</v>
      </c>
    </row>
    <row r="247" spans="2:15" ht="15" customHeight="1" x14ac:dyDescent="0.25">
      <c r="B247" s="1011"/>
      <c r="C247" s="528"/>
      <c r="D247" s="653" t="str">
        <f>'13 Корпус CIL'!G215</f>
        <v>Гидроксид натрия</v>
      </c>
      <c r="E247" s="675" t="str">
        <f>'13 Корпус CIL'!H215</f>
        <v>0150</v>
      </c>
      <c r="F247" s="655"/>
      <c r="G247" s="656"/>
      <c r="H247" s="655"/>
      <c r="I247" s="654"/>
      <c r="J247" s="657"/>
      <c r="K247" s="658"/>
      <c r="L247" s="655">
        <f>'13 Корпус CIL'!I96</f>
        <v>2.5559999999999999E-2</v>
      </c>
      <c r="M247" s="656">
        <f>'13 Корпус CIL'!J96</f>
        <v>0.20152</v>
      </c>
      <c r="N247" s="655">
        <f>'13 Корпус CIL'!I215</f>
        <v>2.5559999999999999E-2</v>
      </c>
      <c r="O247" s="656">
        <f>'13 Корпус CIL'!J215</f>
        <v>0.80606</v>
      </c>
    </row>
    <row r="248" spans="2:15" ht="15" customHeight="1" x14ac:dyDescent="0.25">
      <c r="B248" s="1011"/>
      <c r="C248" s="525" t="s">
        <v>619</v>
      </c>
      <c r="D248" s="647" t="str">
        <f>'13 Корпус CIL'!G216</f>
        <v>Гидроцианид</v>
      </c>
      <c r="E248" s="676" t="str">
        <f>'13 Корпус CIL'!H216</f>
        <v>0317</v>
      </c>
      <c r="F248" s="649"/>
      <c r="G248" s="650"/>
      <c r="H248" s="649"/>
      <c r="I248" s="648"/>
      <c r="J248" s="651"/>
      <c r="K248" s="652"/>
      <c r="L248" s="649">
        <f>'13 Корпус CIL'!I97</f>
        <v>2E-3</v>
      </c>
      <c r="M248" s="650">
        <f>'13 Корпус CIL'!J97</f>
        <v>1.5769999999999999E-2</v>
      </c>
      <c r="N248" s="649">
        <f>'13 Корпус CIL'!I216</f>
        <v>2E-3</v>
      </c>
      <c r="O248" s="650">
        <f>'13 Корпус CIL'!J216</f>
        <v>6.3070000000000001E-2</v>
      </c>
    </row>
    <row r="249" spans="2:15" ht="15" customHeight="1" x14ac:dyDescent="0.25">
      <c r="B249" s="1011"/>
      <c r="C249" s="528"/>
      <c r="D249" s="669" t="str">
        <f>'13 Корпус CIL'!G217</f>
        <v>Гидроксид натрия</v>
      </c>
      <c r="E249" s="670" t="str">
        <f>'13 Корпус CIL'!H217</f>
        <v>0150</v>
      </c>
      <c r="F249" s="671"/>
      <c r="G249" s="672"/>
      <c r="H249" s="671"/>
      <c r="I249" s="673"/>
      <c r="J249" s="674"/>
      <c r="K249" s="530"/>
      <c r="L249" s="671">
        <f>'13 Корпус CIL'!I98</f>
        <v>4.0000000000000002E-4</v>
      </c>
      <c r="M249" s="672">
        <f>'13 Корпус CIL'!J98</f>
        <v>3.15E-3</v>
      </c>
      <c r="N249" s="671">
        <f>'13 Корпус CIL'!I217</f>
        <v>4.0000000000000002E-4</v>
      </c>
      <c r="O249" s="672">
        <f>'13 Корпус CIL'!J217</f>
        <v>1.261E-2</v>
      </c>
    </row>
    <row r="250" spans="2:15" ht="15" customHeight="1" x14ac:dyDescent="0.25">
      <c r="B250" s="1011"/>
      <c r="C250" s="528"/>
      <c r="D250" s="669" t="str">
        <f>'13 Корпус CIL'!G218</f>
        <v>Аммиак</v>
      </c>
      <c r="E250" s="670" t="str">
        <f>'13 Корпус CIL'!H218</f>
        <v>0303</v>
      </c>
      <c r="F250" s="671"/>
      <c r="G250" s="672"/>
      <c r="H250" s="671"/>
      <c r="I250" s="673"/>
      <c r="J250" s="674"/>
      <c r="K250" s="530"/>
      <c r="L250" s="671">
        <f>'13 Корпус CIL'!I99</f>
        <v>0.02</v>
      </c>
      <c r="M250" s="672">
        <f>'13 Корпус CIL'!J99</f>
        <v>0.15767999999999999</v>
      </c>
      <c r="N250" s="671">
        <f>'13 Корпус CIL'!I218</f>
        <v>0.02</v>
      </c>
      <c r="O250" s="672">
        <f>'13 Корпус CIL'!J218</f>
        <v>0.63071999999999995</v>
      </c>
    </row>
    <row r="251" spans="2:15" ht="15" customHeight="1" x14ac:dyDescent="0.25">
      <c r="B251" s="1011"/>
      <c r="C251" s="525" t="s">
        <v>621</v>
      </c>
      <c r="D251" s="647" t="str">
        <f>'13 Корпус CIL'!G219</f>
        <v>Гидроксид натрия</v>
      </c>
      <c r="E251" s="676" t="str">
        <f>'13 Корпус CIL'!H219</f>
        <v>0150</v>
      </c>
      <c r="F251" s="649"/>
      <c r="G251" s="650"/>
      <c r="H251" s="649"/>
      <c r="I251" s="648"/>
      <c r="J251" s="651"/>
      <c r="K251" s="652"/>
      <c r="L251" s="649">
        <f>'13 Корпус CIL'!I100</f>
        <v>0.01</v>
      </c>
      <c r="M251" s="650">
        <f>'13 Корпус CIL'!J100</f>
        <v>7.8839999999999993E-2</v>
      </c>
      <c r="N251" s="649">
        <f>'13 Корпус CIL'!I219</f>
        <v>0.01</v>
      </c>
      <c r="O251" s="650">
        <f>'13 Корпус CIL'!J219</f>
        <v>0.31535999999999997</v>
      </c>
    </row>
    <row r="252" spans="2:15" ht="15" customHeight="1" x14ac:dyDescent="0.25">
      <c r="B252" s="1011"/>
      <c r="C252" s="528"/>
      <c r="D252" s="653" t="str">
        <f>'13 Корпус CIL'!G220</f>
        <v>Аммиак</v>
      </c>
      <c r="E252" s="675" t="str">
        <f>'13 Корпус CIL'!H220</f>
        <v>0303</v>
      </c>
      <c r="F252" s="655"/>
      <c r="G252" s="656"/>
      <c r="H252" s="655"/>
      <c r="I252" s="654"/>
      <c r="J252" s="657"/>
      <c r="K252" s="658"/>
      <c r="L252" s="655">
        <f>'13 Корпус CIL'!I101</f>
        <v>0.01</v>
      </c>
      <c r="M252" s="656">
        <f>'13 Корпус CIL'!J101</f>
        <v>7.8839999999999993E-2</v>
      </c>
      <c r="N252" s="655">
        <f>'13 Корпус CIL'!I220</f>
        <v>0.01</v>
      </c>
      <c r="O252" s="656">
        <f>'13 Корпус CIL'!J220</f>
        <v>0.31535999999999997</v>
      </c>
    </row>
    <row r="253" spans="2:15" ht="15" customHeight="1" x14ac:dyDescent="0.25">
      <c r="B253" s="1011"/>
      <c r="C253" s="525" t="s">
        <v>623</v>
      </c>
      <c r="D253" s="647" t="str">
        <f>'13 Корпус CIL'!G221</f>
        <v xml:space="preserve">Углерод оксид </v>
      </c>
      <c r="E253" s="676" t="str">
        <f>'13 Корпус CIL'!H221</f>
        <v>0337</v>
      </c>
      <c r="F253" s="649"/>
      <c r="G253" s="650"/>
      <c r="H253" s="649"/>
      <c r="I253" s="648"/>
      <c r="J253" s="651"/>
      <c r="K253" s="652"/>
      <c r="L253" s="649">
        <f>'13 Корпус CIL'!I102</f>
        <v>3.0000000000000001E-5</v>
      </c>
      <c r="M253" s="650">
        <f>'13 Корпус CIL'!J102</f>
        <v>2.4000000000000001E-4</v>
      </c>
      <c r="N253" s="649">
        <f>'13 Корпус CIL'!I221</f>
        <v>3.0000000000000001E-5</v>
      </c>
      <c r="O253" s="650">
        <f>'13 Корпус CIL'!J221</f>
        <v>9.5E-4</v>
      </c>
    </row>
    <row r="254" spans="2:15" ht="45" customHeight="1" x14ac:dyDescent="0.25">
      <c r="B254" s="1011"/>
      <c r="C254" s="528"/>
      <c r="D254" s="653" t="str">
        <f>'13 Корпус CIL'!G222</f>
        <v>Пыль неорганическая, содержащая двуокись кремния в %: 70-20</v>
      </c>
      <c r="E254" s="675" t="str">
        <f>'13 Корпус CIL'!H222</f>
        <v>2908</v>
      </c>
      <c r="F254" s="655"/>
      <c r="G254" s="656"/>
      <c r="H254" s="655"/>
      <c r="I254" s="654"/>
      <c r="J254" s="657"/>
      <c r="K254" s="658"/>
      <c r="L254" s="655">
        <f>'13 Корпус CIL'!I103</f>
        <v>5.0000000000000002E-5</v>
      </c>
      <c r="M254" s="656">
        <f>'13 Корпус CIL'!J103</f>
        <v>3.8999999999999999E-4</v>
      </c>
      <c r="N254" s="655">
        <f>'13 Корпус CIL'!I222</f>
        <v>5.0000000000000002E-5</v>
      </c>
      <c r="O254" s="656">
        <f>'13 Корпус CIL'!J222</f>
        <v>1.58E-3</v>
      </c>
    </row>
    <row r="255" spans="2:15" ht="22.5" customHeight="1" x14ac:dyDescent="0.25">
      <c r="B255" s="1011"/>
      <c r="C255" s="525" t="s">
        <v>625</v>
      </c>
      <c r="D255" s="662" t="str">
        <f>'13 Корпус CIL'!G223</f>
        <v>Серная кислота</v>
      </c>
      <c r="E255" s="663" t="str">
        <f>'13 Корпус CIL'!H223</f>
        <v>0322</v>
      </c>
      <c r="F255" s="664"/>
      <c r="G255" s="665"/>
      <c r="H255" s="664"/>
      <c r="I255" s="666"/>
      <c r="J255" s="667"/>
      <c r="K255" s="668"/>
      <c r="L255" s="664">
        <f>'13 Корпус CIL'!I104</f>
        <v>7.5000000000000002E-4</v>
      </c>
      <c r="M255" s="665">
        <f>'13 Корпус CIL'!J104</f>
        <v>5.9100000000000003E-3</v>
      </c>
      <c r="N255" s="664">
        <f>'13 Корпус CIL'!I223</f>
        <v>7.5000000000000002E-4</v>
      </c>
      <c r="O255" s="665">
        <f>'13 Корпус CIL'!J223</f>
        <v>2.3650000000000001E-2</v>
      </c>
    </row>
    <row r="256" spans="2:15" ht="31.5" customHeight="1" x14ac:dyDescent="0.25">
      <c r="B256" s="1011"/>
      <c r="C256" s="525" t="s">
        <v>627</v>
      </c>
      <c r="D256" s="662" t="str">
        <f>'13 Корпус CIL'!G224</f>
        <v xml:space="preserve">Пыль неорганическая, содержащая двуокись кремния в %: более 70 </v>
      </c>
      <c r="E256" s="663" t="str">
        <f>'13 Корпус CIL'!H224</f>
        <v>2907</v>
      </c>
      <c r="F256" s="664"/>
      <c r="G256" s="665"/>
      <c r="H256" s="664"/>
      <c r="I256" s="666"/>
      <c r="J256" s="667"/>
      <c r="K256" s="668"/>
      <c r="L256" s="664">
        <f>'13 Корпус CIL'!I105</f>
        <v>5.0000000000000002E-5</v>
      </c>
      <c r="M256" s="665">
        <f>'13 Корпус CIL'!J105</f>
        <v>3.8999999999999999E-4</v>
      </c>
      <c r="N256" s="664">
        <f>'13 Корпус CIL'!I224</f>
        <v>5.0000000000000002E-5</v>
      </c>
      <c r="O256" s="665">
        <f>'13 Корпус CIL'!J224</f>
        <v>1.58E-3</v>
      </c>
    </row>
    <row r="257" spans="2:15" ht="19.5" customHeight="1" x14ac:dyDescent="0.25">
      <c r="B257" s="1011"/>
      <c r="C257" s="525" t="s">
        <v>630</v>
      </c>
      <c r="D257" s="647" t="str">
        <f>'13 Корпус CIL'!G225</f>
        <v>Гидроцианид</v>
      </c>
      <c r="E257" s="676" t="str">
        <f>'13 Корпус CIL'!H225</f>
        <v>0317</v>
      </c>
      <c r="F257" s="649"/>
      <c r="G257" s="650"/>
      <c r="H257" s="649"/>
      <c r="I257" s="648"/>
      <c r="J257" s="651"/>
      <c r="K257" s="652"/>
      <c r="L257" s="649">
        <f>'13 Корпус CIL'!I106</f>
        <v>2.0000000000000002E-5</v>
      </c>
      <c r="M257" s="650">
        <f>'13 Корпус CIL'!J106</f>
        <v>1.6000000000000001E-4</v>
      </c>
      <c r="N257" s="649">
        <f>'13 Корпус CIL'!I225</f>
        <v>2.0000000000000002E-5</v>
      </c>
      <c r="O257" s="650">
        <f>'13 Корпус CIL'!J225</f>
        <v>6.3000000000000003E-4</v>
      </c>
    </row>
    <row r="258" spans="2:15" ht="81" customHeight="1" x14ac:dyDescent="0.25">
      <c r="B258" s="1011"/>
      <c r="C258" s="528"/>
      <c r="D258" s="653" t="str">
        <f>'13 Корпус CIL'!G226</f>
        <v xml:space="preserve">Пыль неорганическая, содержащая двуокись кремния в %: более 70 </v>
      </c>
      <c r="E258" s="675" t="str">
        <f>'13 Корпус CIL'!H226</f>
        <v>2907</v>
      </c>
      <c r="F258" s="655"/>
      <c r="G258" s="656"/>
      <c r="H258" s="655"/>
      <c r="I258" s="654"/>
      <c r="J258" s="657"/>
      <c r="K258" s="658"/>
      <c r="L258" s="655">
        <f>'13 Корпус CIL'!I107</f>
        <v>2.3999999999999998E-3</v>
      </c>
      <c r="M258" s="656">
        <f>'13 Корпус CIL'!J107</f>
        <v>1.8919999999999999E-2</v>
      </c>
      <c r="N258" s="655">
        <f>'13 Корпус CIL'!I226</f>
        <v>2.3999999999999998E-3</v>
      </c>
      <c r="O258" s="656">
        <f>'13 Корпус CIL'!J226</f>
        <v>7.5689999999999993E-2</v>
      </c>
    </row>
    <row r="259" spans="2:15" ht="15" customHeight="1" x14ac:dyDescent="0.25">
      <c r="B259" s="1011"/>
      <c r="C259" s="525" t="s">
        <v>632</v>
      </c>
      <c r="D259" s="647" t="str">
        <f>'13 Корпус CIL'!G227</f>
        <v>Гидроцианид</v>
      </c>
      <c r="E259" s="676" t="str">
        <f>'13 Корпус CIL'!H227</f>
        <v>0317</v>
      </c>
      <c r="F259" s="649"/>
      <c r="G259" s="650"/>
      <c r="H259" s="649"/>
      <c r="I259" s="648"/>
      <c r="J259" s="651"/>
      <c r="K259" s="652"/>
      <c r="L259" s="649">
        <f>'13 Корпус CIL'!I108</f>
        <v>1.5E-3</v>
      </c>
      <c r="M259" s="650">
        <f>'13 Корпус CIL'!J108</f>
        <v>1.183E-2</v>
      </c>
      <c r="N259" s="649">
        <f>'13 Корпус CIL'!I227</f>
        <v>1.5E-3</v>
      </c>
      <c r="O259" s="650">
        <f>'13 Корпус CIL'!J227</f>
        <v>4.7300000000000002E-2</v>
      </c>
    </row>
    <row r="260" spans="2:15" ht="15" customHeight="1" x14ac:dyDescent="0.25">
      <c r="B260" s="1011"/>
      <c r="C260" s="528"/>
      <c r="D260" s="653" t="str">
        <f>'13 Корпус CIL'!G228</f>
        <v>Гидроксид натрия</v>
      </c>
      <c r="E260" s="675" t="str">
        <f>'13 Корпус CIL'!H228</f>
        <v>0150</v>
      </c>
      <c r="F260" s="655"/>
      <c r="G260" s="656"/>
      <c r="H260" s="655"/>
      <c r="I260" s="654"/>
      <c r="J260" s="657"/>
      <c r="K260" s="658"/>
      <c r="L260" s="655">
        <f>'13 Корпус CIL'!I109</f>
        <v>4.0000000000000002E-4</v>
      </c>
      <c r="M260" s="656">
        <f>'13 Корпус CIL'!J109</f>
        <v>3.15E-3</v>
      </c>
      <c r="N260" s="655">
        <f>'13 Корпус CIL'!I228</f>
        <v>4.0000000000000002E-4</v>
      </c>
      <c r="O260" s="656">
        <f>'13 Корпус CIL'!J228</f>
        <v>1.261E-2</v>
      </c>
    </row>
    <row r="261" spans="2:15" ht="25.5" customHeight="1" x14ac:dyDescent="0.25">
      <c r="B261" s="1011"/>
      <c r="C261" s="525" t="s">
        <v>634</v>
      </c>
      <c r="D261" s="662" t="str">
        <f>'13 Корпус CIL'!G229</f>
        <v>Гидроксид натрия</v>
      </c>
      <c r="E261" s="663" t="str">
        <f>'13 Корпус CIL'!H229</f>
        <v>0150</v>
      </c>
      <c r="F261" s="664"/>
      <c r="G261" s="665"/>
      <c r="H261" s="664"/>
      <c r="I261" s="666"/>
      <c r="J261" s="667"/>
      <c r="K261" s="668"/>
      <c r="L261" s="664">
        <f>'13 Корпус CIL'!I110</f>
        <v>2.9399999999999999E-3</v>
      </c>
      <c r="M261" s="665">
        <f>'13 Корпус CIL'!J110</f>
        <v>2.3179999999999999E-2</v>
      </c>
      <c r="N261" s="664">
        <f>'13 Корпус CIL'!I229</f>
        <v>2.9399999999999999E-3</v>
      </c>
      <c r="O261" s="665">
        <f>'13 Корпус CIL'!J229</f>
        <v>9.2719999999999997E-2</v>
      </c>
    </row>
    <row r="262" spans="2:15" ht="25.5" customHeight="1" x14ac:dyDescent="0.25">
      <c r="B262" s="1011"/>
      <c r="C262" s="525" t="s">
        <v>637</v>
      </c>
      <c r="D262" s="662" t="str">
        <f>'13 Корпус CIL'!G230</f>
        <v>Гидроксид натрия</v>
      </c>
      <c r="E262" s="663" t="str">
        <f>'13 Корпус CIL'!H230</f>
        <v>0150</v>
      </c>
      <c r="F262" s="664"/>
      <c r="G262" s="665"/>
      <c r="H262" s="664"/>
      <c r="I262" s="666"/>
      <c r="J262" s="667"/>
      <c r="K262" s="668"/>
      <c r="L262" s="664">
        <f>'13 Корпус CIL'!I111</f>
        <v>6.9999999999999999E-4</v>
      </c>
      <c r="M262" s="665">
        <f>'13 Корпус CIL'!J111</f>
        <v>5.5199999999999997E-3</v>
      </c>
      <c r="N262" s="664">
        <f>'13 Корпус CIL'!I230</f>
        <v>6.9999999999999999E-4</v>
      </c>
      <c r="O262" s="665">
        <f>'13 Корпус CIL'!J230</f>
        <v>2.2079999999999999E-2</v>
      </c>
    </row>
    <row r="263" spans="2:15" ht="25.5" customHeight="1" x14ac:dyDescent="0.25">
      <c r="B263" s="1011"/>
      <c r="C263" s="525" t="s">
        <v>639</v>
      </c>
      <c r="D263" s="662" t="str">
        <f>'13 Корпус CIL'!G231</f>
        <v>Кальций карбонат</v>
      </c>
      <c r="E263" s="663" t="str">
        <f>'13 Корпус CIL'!H231</f>
        <v>3119</v>
      </c>
      <c r="F263" s="664"/>
      <c r="G263" s="665"/>
      <c r="H263" s="664"/>
      <c r="I263" s="666"/>
      <c r="J263" s="667"/>
      <c r="K263" s="668"/>
      <c r="L263" s="664">
        <f>'13 Корпус CIL'!I112</f>
        <v>3.8000000000000002E-4</v>
      </c>
      <c r="M263" s="665">
        <f>'13 Корпус CIL'!J112</f>
        <v>3.0000000000000001E-3</v>
      </c>
      <c r="N263" s="664">
        <f>'13 Корпус CIL'!I231</f>
        <v>3.8000000000000002E-4</v>
      </c>
      <c r="O263" s="665">
        <f>'13 Корпус CIL'!J231</f>
        <v>1.1979999999999999E-2</v>
      </c>
    </row>
    <row r="264" spans="2:15" ht="25.5" customHeight="1" x14ac:dyDescent="0.25">
      <c r="B264" s="1011"/>
      <c r="C264" s="525" t="s">
        <v>641</v>
      </c>
      <c r="D264" s="662" t="str">
        <f>'13 Корпус CIL'!G232</f>
        <v>Кальций оксид</v>
      </c>
      <c r="E264" s="663" t="str">
        <f>'13 Корпус CIL'!H232</f>
        <v>0128</v>
      </c>
      <c r="F264" s="664"/>
      <c r="G264" s="665"/>
      <c r="H264" s="664"/>
      <c r="I264" s="666"/>
      <c r="J264" s="667"/>
      <c r="K264" s="668"/>
      <c r="L264" s="664">
        <f>'13 Корпус CIL'!I113</f>
        <v>3.8000000000000002E-4</v>
      </c>
      <c r="M264" s="665">
        <f>'13 Корпус CIL'!J113</f>
        <v>3.0000000000000001E-3</v>
      </c>
      <c r="N264" s="664">
        <f>'13 Корпус CIL'!I232</f>
        <v>3.8000000000000002E-4</v>
      </c>
      <c r="O264" s="665">
        <f>'13 Корпус CIL'!J232</f>
        <v>1.1979999999999999E-2</v>
      </c>
    </row>
    <row r="265" spans="2:15" ht="15" customHeight="1" x14ac:dyDescent="0.25">
      <c r="B265" s="1011"/>
      <c r="C265" s="525" t="s">
        <v>644</v>
      </c>
      <c r="D265" s="647" t="str">
        <f>'13 Корпус CIL'!G233</f>
        <v>Кальций карбонат</v>
      </c>
      <c r="E265" s="676" t="str">
        <f>'13 Корпус CIL'!H233</f>
        <v>3119</v>
      </c>
      <c r="F265" s="649"/>
      <c r="G265" s="650"/>
      <c r="H265" s="649"/>
      <c r="I265" s="648"/>
      <c r="J265" s="651"/>
      <c r="K265" s="652"/>
      <c r="L265" s="649">
        <f>'13 Корпус CIL'!I114</f>
        <v>7.4999999999999997E-3</v>
      </c>
      <c r="M265" s="650">
        <f>'13 Корпус CIL'!J114</f>
        <v>5.9130000000000002E-2</v>
      </c>
      <c r="N265" s="649">
        <f>'13 Корпус CIL'!I233</f>
        <v>7.4999999999999997E-3</v>
      </c>
      <c r="O265" s="650">
        <f>'13 Корпус CIL'!J233</f>
        <v>0.23652000000000001</v>
      </c>
    </row>
    <row r="266" spans="2:15" ht="15" customHeight="1" x14ac:dyDescent="0.25">
      <c r="B266" s="1011"/>
      <c r="C266" s="528"/>
      <c r="D266" s="653" t="str">
        <f>'13 Корпус CIL'!G234</f>
        <v>Кальций оксид</v>
      </c>
      <c r="E266" s="675" t="str">
        <f>'13 Корпус CIL'!H234</f>
        <v>0128</v>
      </c>
      <c r="F266" s="655"/>
      <c r="G266" s="656"/>
      <c r="H266" s="655"/>
      <c r="I266" s="654"/>
      <c r="J266" s="657"/>
      <c r="K266" s="658"/>
      <c r="L266" s="655">
        <f>'13 Корпус CIL'!I115</f>
        <v>1E-3</v>
      </c>
      <c r="M266" s="656">
        <f>'13 Корпус CIL'!J115</f>
        <v>7.8799999999999999E-3</v>
      </c>
      <c r="N266" s="655">
        <f>'13 Корпус CIL'!I234</f>
        <v>1E-3</v>
      </c>
      <c r="O266" s="656">
        <f>'13 Корпус CIL'!J234</f>
        <v>3.1539999999999999E-2</v>
      </c>
    </row>
    <row r="267" spans="2:15" ht="15" customHeight="1" x14ac:dyDescent="0.25">
      <c r="B267" s="1011"/>
      <c r="C267" s="525" t="s">
        <v>648</v>
      </c>
      <c r="D267" s="647" t="str">
        <f>'13 Корпус CIL'!G235</f>
        <v>Гидроцианид</v>
      </c>
      <c r="E267" s="676" t="str">
        <f>'13 Корпус CIL'!H235</f>
        <v>0317</v>
      </c>
      <c r="F267" s="649"/>
      <c r="G267" s="650"/>
      <c r="H267" s="649"/>
      <c r="I267" s="648"/>
      <c r="J267" s="651"/>
      <c r="K267" s="652"/>
      <c r="L267" s="649">
        <f>'13 Корпус CIL'!I116</f>
        <v>7.2999999999999996E-4</v>
      </c>
      <c r="M267" s="650">
        <f>'13 Корпус CIL'!J116</f>
        <v>5.7600000000000004E-3</v>
      </c>
      <c r="N267" s="649">
        <f>'13 Корпус CIL'!I235</f>
        <v>7.2999999999999996E-4</v>
      </c>
      <c r="O267" s="650">
        <f>'13 Корпус CIL'!J235</f>
        <v>2.3019999999999999E-2</v>
      </c>
    </row>
    <row r="268" spans="2:15" ht="15" customHeight="1" x14ac:dyDescent="0.25">
      <c r="B268" s="1011"/>
      <c r="C268" s="528"/>
      <c r="D268" s="653" t="str">
        <f>'13 Корпус CIL'!G236</f>
        <v>Дигидроксид кальция</v>
      </c>
      <c r="E268" s="675" t="str">
        <f>'13 Корпус CIL'!H236</f>
        <v>0214</v>
      </c>
      <c r="F268" s="655"/>
      <c r="G268" s="656"/>
      <c r="H268" s="655"/>
      <c r="I268" s="654"/>
      <c r="J268" s="657"/>
      <c r="K268" s="658"/>
      <c r="L268" s="655">
        <f>'13 Корпус CIL'!I117</f>
        <v>6.0000000000000002E-5</v>
      </c>
      <c r="M268" s="656">
        <f>'13 Корпус CIL'!J117</f>
        <v>4.6999999999999999E-4</v>
      </c>
      <c r="N268" s="655">
        <f>'13 Корпус CIL'!I236</f>
        <v>6.0000000000000002E-5</v>
      </c>
      <c r="O268" s="656">
        <f>'13 Корпус CIL'!J236</f>
        <v>1.89E-3</v>
      </c>
    </row>
    <row r="269" spans="2:15" ht="15" customHeight="1" x14ac:dyDescent="0.25">
      <c r="B269" s="1011"/>
      <c r="C269" s="525" t="s">
        <v>651</v>
      </c>
      <c r="D269" s="647" t="str">
        <f>'13 Корпус CIL'!G237</f>
        <v>Гидроксид натрия</v>
      </c>
      <c r="E269" s="676" t="str">
        <f>'13 Корпус CIL'!H237</f>
        <v>0150</v>
      </c>
      <c r="F269" s="649"/>
      <c r="G269" s="650"/>
      <c r="H269" s="649"/>
      <c r="I269" s="648"/>
      <c r="J269" s="651"/>
      <c r="K269" s="652"/>
      <c r="L269" s="649">
        <f>'13 Корпус CIL'!I118</f>
        <v>7.6999999999999996E-4</v>
      </c>
      <c r="M269" s="650">
        <f>'13 Корпус CIL'!J118</f>
        <v>6.0699999999999999E-3</v>
      </c>
      <c r="N269" s="649">
        <f>'13 Корпус CIL'!I237</f>
        <v>7.6999999999999996E-4</v>
      </c>
      <c r="O269" s="650">
        <f>'13 Корпус CIL'!J237</f>
        <v>2.4279999999999999E-2</v>
      </c>
    </row>
    <row r="270" spans="2:15" ht="15" customHeight="1" x14ac:dyDescent="0.25">
      <c r="B270" s="1011"/>
      <c r="C270" s="528"/>
      <c r="D270" s="669" t="str">
        <f>'13 Корпус CIL'!G238</f>
        <v>Гидроцианид</v>
      </c>
      <c r="E270" s="670" t="str">
        <f>'13 Корпус CIL'!H238</f>
        <v>0317</v>
      </c>
      <c r="F270" s="671"/>
      <c r="G270" s="672"/>
      <c r="H270" s="671"/>
      <c r="I270" s="673"/>
      <c r="J270" s="674"/>
      <c r="K270" s="530"/>
      <c r="L270" s="671">
        <f>'13 Корпус CIL'!I119</f>
        <v>9.1E-4</v>
      </c>
      <c r="M270" s="672">
        <f>'13 Корпус CIL'!J119</f>
        <v>7.1700000000000002E-3</v>
      </c>
      <c r="N270" s="671">
        <f>'13 Корпус CIL'!I238</f>
        <v>9.1E-4</v>
      </c>
      <c r="O270" s="672">
        <f>'13 Корпус CIL'!J238</f>
        <v>2.87E-2</v>
      </c>
    </row>
    <row r="271" spans="2:15" ht="15" customHeight="1" x14ac:dyDescent="0.25">
      <c r="B271" s="1011"/>
      <c r="C271" s="528"/>
      <c r="D271" s="653" t="str">
        <f>'13 Корпус CIL'!G239</f>
        <v>Железо сульфат</v>
      </c>
      <c r="E271" s="675" t="str">
        <f>'13 Корпус CIL'!H239</f>
        <v>0121</v>
      </c>
      <c r="F271" s="655"/>
      <c r="G271" s="656"/>
      <c r="H271" s="655"/>
      <c r="I271" s="654"/>
      <c r="J271" s="657"/>
      <c r="K271" s="658"/>
      <c r="L271" s="655">
        <f>'13 Корпус CIL'!I120</f>
        <v>1.0000000000000001E-5</v>
      </c>
      <c r="M271" s="656">
        <f>'13 Корпус CIL'!J120</f>
        <v>8.0000000000000007E-5</v>
      </c>
      <c r="N271" s="655">
        <f>'13 Корпус CIL'!I239</f>
        <v>1.0000000000000001E-5</v>
      </c>
      <c r="O271" s="656">
        <f>'13 Корпус CIL'!J239</f>
        <v>3.2000000000000003E-4</v>
      </c>
    </row>
    <row r="272" spans="2:15" ht="30.75" customHeight="1" x14ac:dyDescent="0.25">
      <c r="B272" s="1011"/>
      <c r="C272" s="525" t="s">
        <v>654</v>
      </c>
      <c r="D272" s="662" t="str">
        <f>'13 Корпус CIL'!G240</f>
        <v>Натрий гидросульфит (Натрия бисульфит)</v>
      </c>
      <c r="E272" s="663" t="str">
        <f>'13 Корпус CIL'!H240</f>
        <v>3152</v>
      </c>
      <c r="F272" s="664"/>
      <c r="G272" s="665"/>
      <c r="H272" s="664"/>
      <c r="I272" s="666"/>
      <c r="J272" s="667"/>
      <c r="K272" s="668"/>
      <c r="L272" s="664">
        <f>'13 Корпус CIL'!I121</f>
        <v>5.8E-4</v>
      </c>
      <c r="M272" s="665">
        <f>'13 Корпус CIL'!J121</f>
        <v>4.5700000000000003E-3</v>
      </c>
      <c r="N272" s="664">
        <f>'13 Корпус CIL'!I240</f>
        <v>5.8E-4</v>
      </c>
      <c r="O272" s="665">
        <f>'13 Корпус CIL'!J240</f>
        <v>1.8290000000000001E-2</v>
      </c>
    </row>
    <row r="273" spans="2:15" ht="45" customHeight="1" x14ac:dyDescent="0.25">
      <c r="B273" s="1011"/>
      <c r="C273" s="525" t="s">
        <v>657</v>
      </c>
      <c r="D273" s="662" t="str">
        <f>'13 Корпус CIL'!G241</f>
        <v>Сульфаминовая кислота (Аминосульфоновая кислота)</v>
      </c>
      <c r="E273" s="663" t="str">
        <f>'13 Корпус CIL'!H241</f>
        <v>1549</v>
      </c>
      <c r="F273" s="664"/>
      <c r="G273" s="665"/>
      <c r="H273" s="664"/>
      <c r="I273" s="666"/>
      <c r="J273" s="667"/>
      <c r="K273" s="668"/>
      <c r="L273" s="664">
        <f>'13 Корпус CIL'!I122</f>
        <v>5.8E-4</v>
      </c>
      <c r="M273" s="665">
        <f>'13 Корпус CIL'!J122</f>
        <v>4.5700000000000003E-3</v>
      </c>
      <c r="N273" s="664">
        <f>'13 Корпус CIL'!I241</f>
        <v>5.8E-4</v>
      </c>
      <c r="O273" s="665">
        <f>'13 Корпус CIL'!J241</f>
        <v>1.8290000000000001E-2</v>
      </c>
    </row>
    <row r="274" spans="2:15" ht="24" customHeight="1" x14ac:dyDescent="0.25">
      <c r="B274" s="1011"/>
      <c r="C274" s="525" t="s">
        <v>659</v>
      </c>
      <c r="D274" s="662" t="str">
        <f>'13 Корпус CIL'!G242</f>
        <v>Оксид азота</v>
      </c>
      <c r="E274" s="663" t="str">
        <f>'13 Корпус CIL'!H242</f>
        <v>0304</v>
      </c>
      <c r="F274" s="664"/>
      <c r="G274" s="665"/>
      <c r="H274" s="664"/>
      <c r="I274" s="666"/>
      <c r="J274" s="667"/>
      <c r="K274" s="668"/>
      <c r="L274" s="664">
        <f>'13 Корпус CIL'!I123</f>
        <v>1.056E-2</v>
      </c>
      <c r="M274" s="665">
        <f>'13 Корпус CIL'!J123</f>
        <v>8.3260000000000001E-2</v>
      </c>
      <c r="N274" s="664">
        <f>'13 Корпус CIL'!I242</f>
        <v>1.056E-2</v>
      </c>
      <c r="O274" s="665">
        <f>'13 Корпус CIL'!J242</f>
        <v>0.33301999999999998</v>
      </c>
    </row>
    <row r="275" spans="2:15" ht="15" customHeight="1" x14ac:dyDescent="0.25">
      <c r="B275" s="1011"/>
      <c r="C275" s="525" t="s">
        <v>661</v>
      </c>
      <c r="D275" s="647" t="str">
        <f>'13 Корпус CIL'!G243</f>
        <v xml:space="preserve">Углерод оксид </v>
      </c>
      <c r="E275" s="676" t="str">
        <f>'13 Корпус CIL'!H243</f>
        <v>0337</v>
      </c>
      <c r="F275" s="649"/>
      <c r="G275" s="650"/>
      <c r="H275" s="649"/>
      <c r="I275" s="648"/>
      <c r="J275" s="651"/>
      <c r="K275" s="652"/>
      <c r="L275" s="649">
        <f>'13 Корпус CIL'!I124</f>
        <v>0.01</v>
      </c>
      <c r="M275" s="650">
        <f>'13 Корпус CIL'!J124</f>
        <v>7.8839999999999993E-2</v>
      </c>
      <c r="N275" s="649">
        <f>'13 Корпус CIL'!I243</f>
        <v>0.01</v>
      </c>
      <c r="O275" s="650">
        <f>'13 Корпус CIL'!J243</f>
        <v>0.31535999999999997</v>
      </c>
    </row>
    <row r="276" spans="2:15" ht="15" customHeight="1" x14ac:dyDescent="0.25">
      <c r="B276" s="1011"/>
      <c r="C276" s="528"/>
      <c r="D276" s="653" t="str">
        <f>'13 Корпус CIL'!G244</f>
        <v>Серная кислота</v>
      </c>
      <c r="E276" s="675" t="str">
        <f>'13 Корпус CIL'!H244</f>
        <v>0322</v>
      </c>
      <c r="F276" s="655"/>
      <c r="G276" s="656"/>
      <c r="H276" s="655"/>
      <c r="I276" s="654"/>
      <c r="J276" s="657"/>
      <c r="K276" s="658"/>
      <c r="L276" s="655">
        <f>'13 Корпус CIL'!I125</f>
        <v>1.06E-3</v>
      </c>
      <c r="M276" s="656">
        <f>'13 Корпус CIL'!J125</f>
        <v>8.3599999999999994E-3</v>
      </c>
      <c r="N276" s="655">
        <f>'13 Корпус CIL'!I244</f>
        <v>1.06E-3</v>
      </c>
      <c r="O276" s="656">
        <f>'13 Корпус CIL'!J244</f>
        <v>3.3430000000000001E-2</v>
      </c>
    </row>
    <row r="277" spans="2:15" ht="25.5" customHeight="1" x14ac:dyDescent="0.25">
      <c r="B277" s="1011"/>
      <c r="C277" s="525" t="s">
        <v>664</v>
      </c>
      <c r="D277" s="662" t="str">
        <f>'13 Корпус CIL'!G245</f>
        <v>Диоксид серы</v>
      </c>
      <c r="E277" s="663" t="str">
        <f>'13 Корпус CIL'!H245</f>
        <v>0330</v>
      </c>
      <c r="F277" s="664"/>
      <c r="G277" s="665"/>
      <c r="H277" s="664"/>
      <c r="I277" s="666"/>
      <c r="J277" s="667"/>
      <c r="K277" s="668"/>
      <c r="L277" s="664">
        <f>'13 Корпус CIL'!I126</f>
        <v>0.01</v>
      </c>
      <c r="M277" s="665">
        <f>'13 Корпус CIL'!J126</f>
        <v>7.8839999999999993E-2</v>
      </c>
      <c r="N277" s="664">
        <f>'13 Корпус CIL'!I245</f>
        <v>0.01</v>
      </c>
      <c r="O277" s="665">
        <f>'13 Корпус CIL'!J245</f>
        <v>0.31535999999999997</v>
      </c>
    </row>
    <row r="278" spans="2:15" ht="25.5" customHeight="1" x14ac:dyDescent="0.25">
      <c r="B278" s="1011"/>
      <c r="C278" s="525" t="s">
        <v>666</v>
      </c>
      <c r="D278" s="662" t="str">
        <f>'13 Корпус CIL'!G246</f>
        <v>Серная кислота</v>
      </c>
      <c r="E278" s="663" t="str">
        <f>'13 Корпус CIL'!H246</f>
        <v>0322</v>
      </c>
      <c r="F278" s="664"/>
      <c r="G278" s="665"/>
      <c r="H278" s="664"/>
      <c r="I278" s="666"/>
      <c r="J278" s="667"/>
      <c r="K278" s="668"/>
      <c r="L278" s="664">
        <f>'13 Корпус CIL'!I127</f>
        <v>2.1099999999999999E-3</v>
      </c>
      <c r="M278" s="665">
        <f>'13 Корпус CIL'!J127</f>
        <v>1.6639999999999999E-2</v>
      </c>
      <c r="N278" s="664">
        <f>'13 Корпус CIL'!I246</f>
        <v>2.1099999999999999E-3</v>
      </c>
      <c r="O278" s="665">
        <f>'13 Корпус CIL'!J246</f>
        <v>6.6540000000000002E-2</v>
      </c>
    </row>
    <row r="279" spans="2:15" ht="30" customHeight="1" x14ac:dyDescent="0.25">
      <c r="B279" s="1011"/>
      <c r="C279" s="525" t="s">
        <v>668</v>
      </c>
      <c r="D279" s="662" t="str">
        <f>'13 Корпус CIL'!G247</f>
        <v>Пыль неорганическая, содержащая двуокись кремния в %: 70-20</v>
      </c>
      <c r="E279" s="663" t="str">
        <f>'13 Корпус CIL'!H247</f>
        <v>2908</v>
      </c>
      <c r="F279" s="664"/>
      <c r="G279" s="665"/>
      <c r="H279" s="664"/>
      <c r="I279" s="666"/>
      <c r="J279" s="667"/>
      <c r="K279" s="668"/>
      <c r="L279" s="664">
        <f>'13 Корпус CIL'!I128</f>
        <v>4.7499999999999999E-3</v>
      </c>
      <c r="M279" s="665">
        <f>'13 Корпус CIL'!J128</f>
        <v>3.7449999999999997E-2</v>
      </c>
      <c r="N279" s="664">
        <f>'13 Корпус CIL'!I247</f>
        <v>4.7499999999999999E-3</v>
      </c>
      <c r="O279" s="665">
        <f>'13 Корпус CIL'!J247</f>
        <v>0.14979999999999999</v>
      </c>
    </row>
    <row r="280" spans="2:15" ht="15" customHeight="1" x14ac:dyDescent="0.25">
      <c r="B280" s="1011"/>
      <c r="C280" s="525" t="s">
        <v>1173</v>
      </c>
      <c r="D280" s="647" t="str">
        <f>'13 Корпус CIL'!G248</f>
        <v>Гидроцианид</v>
      </c>
      <c r="E280" s="676" t="str">
        <f>'13 Корпус CIL'!H248</f>
        <v>0317</v>
      </c>
      <c r="F280" s="649"/>
      <c r="G280" s="650"/>
      <c r="H280" s="649"/>
      <c r="I280" s="648"/>
      <c r="J280" s="651"/>
      <c r="K280" s="652"/>
      <c r="L280" s="649">
        <f>'13 Корпус CIL'!I129</f>
        <v>1.0000000000000001E-5</v>
      </c>
      <c r="M280" s="650">
        <f>'13 Корпус CIL'!J129</f>
        <v>8.0000000000000007E-5</v>
      </c>
      <c r="N280" s="649">
        <f>'13 Корпус CIL'!I248</f>
        <v>1.0000000000000001E-5</v>
      </c>
      <c r="O280" s="650">
        <f>'13 Корпус CIL'!J248</f>
        <v>3.2000000000000003E-4</v>
      </c>
    </row>
    <row r="281" spans="2:15" ht="15" customHeight="1" x14ac:dyDescent="0.25">
      <c r="B281" s="1011"/>
      <c r="C281" s="528"/>
      <c r="D281" s="669" t="str">
        <f>'13 Корпус CIL'!G249</f>
        <v>Гидроксид натрия</v>
      </c>
      <c r="E281" s="670" t="str">
        <f>'13 Корпус CIL'!H249</f>
        <v>0150</v>
      </c>
      <c r="F281" s="671"/>
      <c r="G281" s="672"/>
      <c r="H281" s="671"/>
      <c r="I281" s="673"/>
      <c r="J281" s="674"/>
      <c r="K281" s="530"/>
      <c r="L281" s="671">
        <f>'13 Корпус CIL'!I130</f>
        <v>4.0000000000000003E-5</v>
      </c>
      <c r="M281" s="672">
        <f>'13 Корпус CIL'!J130</f>
        <v>3.2000000000000003E-4</v>
      </c>
      <c r="N281" s="671">
        <f>'13 Корпус CIL'!I249</f>
        <v>4.0000000000000003E-5</v>
      </c>
      <c r="O281" s="672">
        <f>'13 Корпус CIL'!J249</f>
        <v>1.2600000000000001E-3</v>
      </c>
    </row>
    <row r="282" spans="2:15" ht="15" customHeight="1" x14ac:dyDescent="0.25">
      <c r="B282" s="1011"/>
      <c r="C282" s="528"/>
      <c r="D282" s="653" t="str">
        <f>'13 Корпус CIL'!G250</f>
        <v>Аммиак</v>
      </c>
      <c r="E282" s="675" t="str">
        <f>'13 Корпус CIL'!H250</f>
        <v>0303</v>
      </c>
      <c r="F282" s="655"/>
      <c r="G282" s="656"/>
      <c r="H282" s="655"/>
      <c r="I282" s="654"/>
      <c r="J282" s="657"/>
      <c r="K282" s="658"/>
      <c r="L282" s="655">
        <f>'13 Корпус CIL'!I131</f>
        <v>1.1E-4</v>
      </c>
      <c r="M282" s="656">
        <f>'13 Корпус CIL'!J131</f>
        <v>8.7000000000000001E-4</v>
      </c>
      <c r="N282" s="655">
        <f>'13 Корпус CIL'!I250</f>
        <v>1.1E-4</v>
      </c>
      <c r="O282" s="656">
        <f>'13 Корпус CIL'!J250</f>
        <v>3.47E-3</v>
      </c>
    </row>
    <row r="283" spans="2:15" ht="15" customHeight="1" x14ac:dyDescent="0.25">
      <c r="B283" s="1011"/>
      <c r="C283" s="525" t="s">
        <v>670</v>
      </c>
      <c r="D283" s="647" t="str">
        <f>'13 Корпус CIL'!G251</f>
        <v xml:space="preserve">Углерод оксид </v>
      </c>
      <c r="E283" s="676" t="str">
        <f>'13 Корпус CIL'!H251</f>
        <v>0337</v>
      </c>
      <c r="F283" s="649"/>
      <c r="G283" s="650"/>
      <c r="H283" s="649"/>
      <c r="I283" s="648"/>
      <c r="J283" s="651"/>
      <c r="K283" s="652"/>
      <c r="L283" s="649">
        <f>'13 Корпус CIL'!I132</f>
        <v>2.0250000000000001E-2</v>
      </c>
      <c r="M283" s="650">
        <f>'13 Корпус CIL'!J132</f>
        <v>0.15970000000000001</v>
      </c>
      <c r="N283" s="649">
        <f>'13 Корпус CIL'!I251</f>
        <v>2.0250000000000001E-2</v>
      </c>
      <c r="O283" s="650">
        <f>'13 Корпус CIL'!J251</f>
        <v>0.63859999999999995</v>
      </c>
    </row>
    <row r="284" spans="2:15" ht="15" customHeight="1" x14ac:dyDescent="0.25">
      <c r="B284" s="1011"/>
      <c r="C284" s="528"/>
      <c r="D284" s="669" t="str">
        <f>'13 Корпус CIL'!G252</f>
        <v>Углерод</v>
      </c>
      <c r="E284" s="670" t="str">
        <f>'13 Корпус CIL'!H252</f>
        <v>0328</v>
      </c>
      <c r="F284" s="671"/>
      <c r="G284" s="672"/>
      <c r="H284" s="671"/>
      <c r="I284" s="673"/>
      <c r="J284" s="674"/>
      <c r="K284" s="530"/>
      <c r="L284" s="671">
        <f>'13 Корпус CIL'!I133</f>
        <v>6.4999999999999997E-3</v>
      </c>
      <c r="M284" s="672">
        <f>'13 Корпус CIL'!J133</f>
        <v>5.1249999999999997E-2</v>
      </c>
      <c r="N284" s="671">
        <f>'13 Корпус CIL'!I252</f>
        <v>6.4999999999999997E-3</v>
      </c>
      <c r="O284" s="672">
        <f>'13 Корпус CIL'!J252</f>
        <v>0.20498</v>
      </c>
    </row>
    <row r="285" spans="2:15" ht="24" customHeight="1" x14ac:dyDescent="0.25">
      <c r="B285" s="1011"/>
      <c r="C285" s="525" t="s">
        <v>274</v>
      </c>
      <c r="D285" s="662" t="str">
        <f>'13 Корпус CIL'!G253</f>
        <v>Кальций карбонат</v>
      </c>
      <c r="E285" s="663" t="str">
        <f>'13 Корпус CIL'!H253</f>
        <v>3119</v>
      </c>
      <c r="F285" s="664"/>
      <c r="G285" s="665"/>
      <c r="H285" s="664"/>
      <c r="I285" s="666"/>
      <c r="J285" s="667"/>
      <c r="K285" s="668"/>
      <c r="L285" s="664">
        <f>'13 Корпус CIL'!I134</f>
        <v>7.7999999999999999E-4</v>
      </c>
      <c r="M285" s="665">
        <f>'13 Корпус CIL'!J134</f>
        <v>6.1500000000000001E-3</v>
      </c>
      <c r="N285" s="664">
        <f>'13 Корпус CIL'!I253</f>
        <v>7.7999999999999999E-4</v>
      </c>
      <c r="O285" s="665">
        <f>'13 Корпус CIL'!J253</f>
        <v>2.46E-2</v>
      </c>
    </row>
    <row r="286" spans="2:15" ht="24" customHeight="1" x14ac:dyDescent="0.25">
      <c r="B286" s="1013"/>
      <c r="C286" s="525" t="s">
        <v>673</v>
      </c>
      <c r="D286" s="662" t="str">
        <f>'13 Корпус CIL'!G254</f>
        <v>Кальций оксид</v>
      </c>
      <c r="E286" s="663" t="str">
        <f>'13 Корпус CIL'!H254</f>
        <v>0128</v>
      </c>
      <c r="F286" s="664"/>
      <c r="G286" s="665"/>
      <c r="H286" s="664"/>
      <c r="I286" s="666"/>
      <c r="J286" s="667"/>
      <c r="K286" s="668"/>
      <c r="L286" s="664">
        <f>'13 Корпус CIL'!I135</f>
        <v>2.0000000000000001E-4</v>
      </c>
      <c r="M286" s="665">
        <f>'13 Корпус CIL'!J135</f>
        <v>1.58E-3</v>
      </c>
      <c r="N286" s="664">
        <f>'13 Корпус CIL'!I254</f>
        <v>2.0000000000000001E-4</v>
      </c>
      <c r="O286" s="665">
        <f>'13 Корпус CIL'!J254</f>
        <v>6.3099999999999996E-3</v>
      </c>
    </row>
    <row r="287" spans="2:15" ht="18" customHeight="1" x14ac:dyDescent="0.25">
      <c r="B287" s="1010" t="s">
        <v>991</v>
      </c>
      <c r="C287" s="525" t="s">
        <v>685</v>
      </c>
      <c r="D287" s="626" t="str">
        <f>'16 емкости УСПК'!G27</f>
        <v>Серная кислота</v>
      </c>
      <c r="E287" s="681" t="str">
        <f>'16 емкости УСПК'!H27</f>
        <v>0322</v>
      </c>
      <c r="F287" s="630"/>
      <c r="G287" s="629"/>
      <c r="H287" s="630"/>
      <c r="I287" s="627"/>
      <c r="J287" s="628"/>
      <c r="K287" s="659"/>
      <c r="L287" s="630">
        <f>'16 емкости УСПК'!I20</f>
        <v>8.3299999999999997E-4</v>
      </c>
      <c r="M287" s="629">
        <f>'16 емкости УСПК'!J20</f>
        <v>5.5799999999999999E-3</v>
      </c>
      <c r="N287" s="630">
        <f>'16 емкости УСПК'!I27</f>
        <v>8.3299999999999997E-4</v>
      </c>
      <c r="O287" s="629">
        <f>'16 емкости УСПК'!J27</f>
        <v>2.2329999999999999E-2</v>
      </c>
    </row>
    <row r="288" spans="2:15" ht="18" customHeight="1" x14ac:dyDescent="0.25">
      <c r="B288" s="1011"/>
      <c r="C288" s="525" t="s">
        <v>686</v>
      </c>
      <c r="D288" s="626" t="str">
        <f>'16 емкости УСПК'!G28</f>
        <v>Серная кислота</v>
      </c>
      <c r="E288" s="681" t="str">
        <f>'16 емкости УСПК'!H28</f>
        <v>0322</v>
      </c>
      <c r="F288" s="630"/>
      <c r="G288" s="629"/>
      <c r="H288" s="630"/>
      <c r="I288" s="627"/>
      <c r="J288" s="628"/>
      <c r="K288" s="659"/>
      <c r="L288" s="630">
        <f>'16 емкости УСПК'!I21</f>
        <v>8.3299999999999997E-4</v>
      </c>
      <c r="M288" s="629">
        <f>'16 емкости УСПК'!J21</f>
        <v>5.5799999999999999E-3</v>
      </c>
      <c r="N288" s="630">
        <f>'16 емкости УСПК'!I28</f>
        <v>8.3299999999999997E-4</v>
      </c>
      <c r="O288" s="629">
        <f>'16 емкости УСПК'!J28</f>
        <v>2.2329999999999999E-2</v>
      </c>
    </row>
    <row r="289" spans="2:15" ht="18" customHeight="1" x14ac:dyDescent="0.25">
      <c r="B289" s="1011"/>
      <c r="C289" s="525" t="s">
        <v>687</v>
      </c>
      <c r="D289" s="626" t="str">
        <f>'16 емкости УСПК'!G29</f>
        <v>Серная кислота</v>
      </c>
      <c r="E289" s="681" t="str">
        <f>'16 емкости УСПК'!H29</f>
        <v>0322</v>
      </c>
      <c r="F289" s="630"/>
      <c r="G289" s="629"/>
      <c r="H289" s="630"/>
      <c r="I289" s="627"/>
      <c r="J289" s="628"/>
      <c r="K289" s="659"/>
      <c r="L289" s="630">
        <f>'16 емкости УСПК'!I22</f>
        <v>8.3299999999999997E-4</v>
      </c>
      <c r="M289" s="629">
        <f>'16 емкости УСПК'!J22</f>
        <v>5.5799999999999999E-3</v>
      </c>
      <c r="N289" s="630">
        <f>'16 емкости УСПК'!I29</f>
        <v>8.3299999999999997E-4</v>
      </c>
      <c r="O289" s="629">
        <f>'16 емкости УСПК'!J29</f>
        <v>2.2329999999999999E-2</v>
      </c>
    </row>
    <row r="290" spans="2:15" ht="18" customHeight="1" x14ac:dyDescent="0.25">
      <c r="B290" s="1013"/>
      <c r="C290" s="525" t="s">
        <v>580</v>
      </c>
      <c r="D290" s="626" t="str">
        <f>'16 емкости УСПК'!G30</f>
        <v>Серная кислота</v>
      </c>
      <c r="E290" s="681" t="str">
        <f>'16 емкости УСПК'!H30</f>
        <v>0322</v>
      </c>
      <c r="F290" s="630"/>
      <c r="G290" s="629"/>
      <c r="H290" s="630"/>
      <c r="I290" s="627"/>
      <c r="J290" s="628"/>
      <c r="K290" s="659"/>
      <c r="L290" s="630">
        <f>'16 емкости УСПК'!I23</f>
        <v>8.3299999999999997E-4</v>
      </c>
      <c r="M290" s="629">
        <f>'16 емкости УСПК'!J23</f>
        <v>5.5799999999999999E-3</v>
      </c>
      <c r="N290" s="630">
        <f>'16 емкости УСПК'!I30</f>
        <v>8.3299999999999997E-4</v>
      </c>
      <c r="O290" s="629">
        <f>'16 емкости УСПК'!J30</f>
        <v>2.2329999999999999E-2</v>
      </c>
    </row>
    <row r="291" spans="2:15" ht="27" customHeight="1" x14ac:dyDescent="0.25">
      <c r="B291" s="1010" t="s">
        <v>1002</v>
      </c>
      <c r="C291" s="525" t="s">
        <v>1026</v>
      </c>
      <c r="D291" s="647" t="str">
        <f>'17 УПИИ'!G26</f>
        <v>Кальций оксид</v>
      </c>
      <c r="E291" s="677" t="str">
        <f>'17 УПИИ'!H26</f>
        <v>0128</v>
      </c>
      <c r="F291" s="649"/>
      <c r="G291" s="650"/>
      <c r="H291" s="649"/>
      <c r="I291" s="648"/>
      <c r="J291" s="651"/>
      <c r="K291" s="652"/>
      <c r="L291" s="649">
        <f>'17 УПИИ'!I20</f>
        <v>8.0000000000000004E-4</v>
      </c>
      <c r="M291" s="650">
        <f>'17 УПИИ'!J20</f>
        <v>6.3099999999999996E-3</v>
      </c>
      <c r="N291" s="649">
        <f>'17 УПИИ'!I26</f>
        <v>8.0000000000000004E-4</v>
      </c>
      <c r="O291" s="650">
        <f>'17 УПИИ'!J26</f>
        <v>2.5229999999999999E-2</v>
      </c>
    </row>
    <row r="292" spans="2:15" ht="24" customHeight="1" x14ac:dyDescent="0.25">
      <c r="B292" s="1011"/>
      <c r="C292" s="525" t="s">
        <v>1008</v>
      </c>
      <c r="D292" s="647" t="str">
        <f>'17 УПИИ'!G27</f>
        <v>Кальций оксид</v>
      </c>
      <c r="E292" s="677" t="str">
        <f>'17 УПИИ'!H27</f>
        <v>0128</v>
      </c>
      <c r="F292" s="649"/>
      <c r="G292" s="650"/>
      <c r="H292" s="649"/>
      <c r="I292" s="648"/>
      <c r="J292" s="651"/>
      <c r="K292" s="652"/>
      <c r="L292" s="649">
        <f>'17 УПИИ'!I21</f>
        <v>2.6700000000000002E-2</v>
      </c>
      <c r="M292" s="650">
        <f>'17 УПИИ'!J21</f>
        <v>0.21049999999999999</v>
      </c>
      <c r="N292" s="649">
        <f>'17 УПИИ'!I27</f>
        <v>2.6700000000000002E-2</v>
      </c>
      <c r="O292" s="650">
        <f>'17 УПИИ'!J27</f>
        <v>0.84201000000000004</v>
      </c>
    </row>
    <row r="293" spans="2:15" ht="24" customHeight="1" x14ac:dyDescent="0.25">
      <c r="B293" s="1013"/>
      <c r="C293" s="525" t="s">
        <v>133</v>
      </c>
      <c r="D293" s="647" t="str">
        <f>'17 УПИИ'!G28</f>
        <v>Кальций карбонат</v>
      </c>
      <c r="E293" s="677">
        <f>'17 УПИИ'!H28</f>
        <v>3119</v>
      </c>
      <c r="F293" s="649"/>
      <c r="G293" s="650"/>
      <c r="H293" s="649"/>
      <c r="I293" s="648"/>
      <c r="J293" s="651"/>
      <c r="K293" s="652"/>
      <c r="L293" s="649">
        <f>'17 УПИИ'!I22</f>
        <v>2.6700000000000002E-2</v>
      </c>
      <c r="M293" s="650">
        <f>'17 УПИИ'!J22</f>
        <v>0.21049999999999999</v>
      </c>
      <c r="N293" s="649">
        <f>'17 УПИИ'!I28</f>
        <v>2.6700000000000002E-2</v>
      </c>
      <c r="O293" s="650">
        <f>'17 УПИИ'!J28</f>
        <v>0.84201000000000004</v>
      </c>
    </row>
    <row r="294" spans="2:15" ht="15" customHeight="1" x14ac:dyDescent="0.25">
      <c r="B294" s="1010" t="s">
        <v>1172</v>
      </c>
      <c r="C294" s="525" t="s">
        <v>963</v>
      </c>
      <c r="D294" s="626" t="str">
        <f>'10 ДЭС'!K25</f>
        <v>Углерода оксид</v>
      </c>
      <c r="E294" s="681" t="str">
        <f>'10 ДЭС'!L25</f>
        <v>0337</v>
      </c>
      <c r="F294" s="659"/>
      <c r="G294" s="629"/>
      <c r="H294" s="630"/>
      <c r="I294" s="627"/>
      <c r="J294" s="628"/>
      <c r="K294" s="659"/>
      <c r="L294" s="628">
        <f>'10 ДЭС'!M25</f>
        <v>0.08</v>
      </c>
      <c r="M294" s="629">
        <f>'10 ДЭС'!N25</f>
        <v>5.0000000000000001E-4</v>
      </c>
      <c r="N294" s="628">
        <f>'10 ДЭС'!M34</f>
        <v>0.08</v>
      </c>
      <c r="O294" s="629">
        <f>'10 ДЭС'!N34</f>
        <v>1.9E-3</v>
      </c>
    </row>
    <row r="295" spans="2:15" ht="15" customHeight="1" x14ac:dyDescent="0.25">
      <c r="B295" s="1011"/>
      <c r="C295" s="528"/>
      <c r="D295" s="633" t="str">
        <f>'10 ДЭС'!K26</f>
        <v>Азота диоксид</v>
      </c>
      <c r="E295" s="682" t="str">
        <f>'10 ДЭС'!L26</f>
        <v>0301</v>
      </c>
      <c r="G295" s="636"/>
      <c r="H295" s="637"/>
      <c r="I295" s="634"/>
      <c r="J295" s="635"/>
      <c r="L295" s="635">
        <f>'10 ДЭС'!M26</f>
        <v>9.1600000000000001E-2</v>
      </c>
      <c r="M295" s="636">
        <f>'10 ДЭС'!N26</f>
        <v>5.9999999999999995E-4</v>
      </c>
      <c r="N295" s="635">
        <f>'10 ДЭС'!M35</f>
        <v>9.1600000000000001E-2</v>
      </c>
      <c r="O295" s="636">
        <f>'10 ДЭС'!N35</f>
        <v>2.0999999999999999E-3</v>
      </c>
    </row>
    <row r="296" spans="2:15" ht="15" customHeight="1" x14ac:dyDescent="0.25">
      <c r="B296" s="1011"/>
      <c r="C296" s="528"/>
      <c r="D296" s="633" t="str">
        <f>'10 ДЭС'!K27</f>
        <v>Азота оксид</v>
      </c>
      <c r="E296" s="682" t="str">
        <f>'10 ДЭС'!L27</f>
        <v>0304</v>
      </c>
      <c r="G296" s="636"/>
      <c r="H296" s="637"/>
      <c r="I296" s="634"/>
      <c r="J296" s="635"/>
      <c r="L296" s="635">
        <f>'10 ДЭС'!M27</f>
        <v>1.49E-2</v>
      </c>
      <c r="M296" s="636">
        <f>'10 ДЭС'!N27</f>
        <v>1E-4</v>
      </c>
      <c r="N296" s="635">
        <f>'10 ДЭС'!M36</f>
        <v>1.49E-2</v>
      </c>
      <c r="O296" s="636">
        <f>'10 ДЭС'!N36</f>
        <v>2.9999999999999997E-4</v>
      </c>
    </row>
    <row r="297" spans="2:15" ht="15" customHeight="1" x14ac:dyDescent="0.25">
      <c r="B297" s="1011"/>
      <c r="C297" s="528"/>
      <c r="D297" s="633" t="str">
        <f>'10 ДЭС'!K28</f>
        <v>Углеводороды</v>
      </c>
      <c r="E297" s="682">
        <f>'10 ДЭС'!L28</f>
        <v>2754</v>
      </c>
      <c r="G297" s="636"/>
      <c r="H297" s="637"/>
      <c r="I297" s="634"/>
      <c r="J297" s="635"/>
      <c r="L297" s="635">
        <f>'10 ДЭС'!M28</f>
        <v>0.04</v>
      </c>
      <c r="M297" s="636">
        <f>'10 ДЭС'!N28</f>
        <v>2.0000000000000001E-4</v>
      </c>
      <c r="N297" s="635">
        <f>'10 ДЭС'!M37</f>
        <v>0.04</v>
      </c>
      <c r="O297" s="636">
        <f>'10 ДЭС'!N37</f>
        <v>8.9999999999999998E-4</v>
      </c>
    </row>
    <row r="298" spans="2:15" ht="15" customHeight="1" x14ac:dyDescent="0.25">
      <c r="B298" s="1011"/>
      <c r="C298" s="528"/>
      <c r="D298" s="633" t="str">
        <f>'10 ДЭС'!K29</f>
        <v>Углерод черный</v>
      </c>
      <c r="E298" s="682" t="str">
        <f>'10 ДЭС'!L29</f>
        <v>0328</v>
      </c>
      <c r="G298" s="636"/>
      <c r="H298" s="637"/>
      <c r="I298" s="634"/>
      <c r="J298" s="635"/>
      <c r="L298" s="635">
        <f>'10 ДЭС'!M29</f>
        <v>7.7999999999999996E-3</v>
      </c>
      <c r="M298" s="636">
        <f>'10 ДЭС'!N29</f>
        <v>5.0000000000000002E-5</v>
      </c>
      <c r="N298" s="635">
        <f>'10 ДЭС'!M38</f>
        <v>7.7999999999999996E-3</v>
      </c>
      <c r="O298" s="636">
        <f>'10 ДЭС'!N38</f>
        <v>2.0000000000000001E-4</v>
      </c>
    </row>
    <row r="299" spans="2:15" ht="15" customHeight="1" x14ac:dyDescent="0.25">
      <c r="B299" s="1011"/>
      <c r="C299" s="528"/>
      <c r="D299" s="633" t="str">
        <f>'10 ДЭС'!K30</f>
        <v>Сернистый ангидрид</v>
      </c>
      <c r="E299" s="682" t="str">
        <f>'10 ДЭС'!L30</f>
        <v>0330</v>
      </c>
      <c r="G299" s="636"/>
      <c r="H299" s="637"/>
      <c r="I299" s="634"/>
      <c r="J299" s="635"/>
      <c r="L299" s="635">
        <f>'10 ДЭС'!M30</f>
        <v>1.2200000000000001E-2</v>
      </c>
      <c r="M299" s="636">
        <f>'10 ДЭС'!N30</f>
        <v>1E-4</v>
      </c>
      <c r="N299" s="635">
        <f>'10 ДЭС'!M39</f>
        <v>1.2200000000000001E-2</v>
      </c>
      <c r="O299" s="636">
        <f>'10 ДЭС'!N39</f>
        <v>2.9999999999999997E-4</v>
      </c>
    </row>
    <row r="300" spans="2:15" ht="15" customHeight="1" x14ac:dyDescent="0.25">
      <c r="B300" s="1011"/>
      <c r="C300" s="528"/>
      <c r="D300" s="633" t="str">
        <f>'10 ДЭС'!K31</f>
        <v>Формальдегид</v>
      </c>
      <c r="E300" s="682" t="str">
        <f>'10 ДЭС'!L31</f>
        <v>1325</v>
      </c>
      <c r="G300" s="636"/>
      <c r="H300" s="637"/>
      <c r="I300" s="634"/>
      <c r="J300" s="635"/>
      <c r="L300" s="635">
        <f>'10 ДЭС'!M31</f>
        <v>1.6999999999999999E-3</v>
      </c>
      <c r="M300" s="636">
        <f>'10 ДЭС'!N31</f>
        <v>1.0000000000000001E-5</v>
      </c>
      <c r="N300" s="635">
        <f>'10 ДЭС'!M40</f>
        <v>1.6999999999999999E-3</v>
      </c>
      <c r="O300" s="636">
        <f>'10 ДЭС'!N40</f>
        <v>4.0000000000000003E-5</v>
      </c>
    </row>
    <row r="301" spans="2:15" ht="15" customHeight="1" x14ac:dyDescent="0.25">
      <c r="B301" s="1011"/>
      <c r="C301" s="529"/>
      <c r="D301" s="640" t="str">
        <f>'10 ДЭС'!K32</f>
        <v>Бенз(а)пирен</v>
      </c>
      <c r="E301" s="660" t="str">
        <f>'10 ДЭС'!L32</f>
        <v>0703</v>
      </c>
      <c r="F301" s="661"/>
      <c r="G301" s="643"/>
      <c r="H301" s="644"/>
      <c r="I301" s="641"/>
      <c r="J301" s="642"/>
      <c r="K301" s="661"/>
      <c r="L301" s="642">
        <f>'10 ДЭС'!M32</f>
        <v>9.9999999999999995E-8</v>
      </c>
      <c r="M301" s="643">
        <f>'10 ДЭС'!N32</f>
        <v>1.0000000000000001E-9</v>
      </c>
      <c r="N301" s="642">
        <f>'10 ДЭС'!M41</f>
        <v>9.9999999999999995E-8</v>
      </c>
      <c r="O301" s="643">
        <f>'10 ДЭС'!N41</f>
        <v>3E-9</v>
      </c>
    </row>
    <row r="302" spans="2:15" ht="27.75" customHeight="1" x14ac:dyDescent="0.25">
      <c r="B302" s="1010" t="s">
        <v>1165</v>
      </c>
      <c r="C302" s="528" t="s">
        <v>113</v>
      </c>
      <c r="D302" s="669" t="str">
        <f>'3 насосная станция ДТ'!H39</f>
        <v>Углеводороды предельные С12-С19</v>
      </c>
      <c r="E302" s="673">
        <f>'3 насосная станция ДТ'!I39</f>
        <v>2754</v>
      </c>
      <c r="F302" s="671">
        <f>'3 насосная станция ДТ'!K39</f>
        <v>9.6950000000000008E-2</v>
      </c>
      <c r="G302" s="672">
        <f>'3 насосная станция ДТ'!L39</f>
        <v>6.7560000000000009E-2</v>
      </c>
      <c r="H302" s="671">
        <f>'3 насосная станция ДТ'!K39</f>
        <v>9.6950000000000008E-2</v>
      </c>
      <c r="I302" s="673">
        <f>'3 насосная станция ДТ'!L39</f>
        <v>6.7560000000000009E-2</v>
      </c>
      <c r="J302" s="674">
        <f>'3 насосная станция ДТ'!K39</f>
        <v>9.6950000000000008E-2</v>
      </c>
      <c r="K302" s="530">
        <f>'3 насосная станция ДТ'!L39</f>
        <v>6.7560000000000009E-2</v>
      </c>
      <c r="L302" s="671">
        <f>'3 насосная станция ДТ'!K39</f>
        <v>9.6950000000000008E-2</v>
      </c>
      <c r="M302" s="672">
        <f>'3 насосная станция ДТ'!L39</f>
        <v>6.7560000000000009E-2</v>
      </c>
      <c r="N302" s="671">
        <f>'3 насосная станция ДТ'!K48</f>
        <v>9.6950000000000008E-2</v>
      </c>
      <c r="O302" s="672">
        <f>'3 насосная станция ДТ'!L48</f>
        <v>1.09E-2</v>
      </c>
    </row>
    <row r="303" spans="2:15" ht="33.75" customHeight="1" x14ac:dyDescent="0.25">
      <c r="B303" s="1013"/>
      <c r="C303" s="529"/>
      <c r="D303" s="669" t="str">
        <f>'3 насосная станция ДТ'!H40</f>
        <v>Сероводород</v>
      </c>
      <c r="E303" s="673" t="str">
        <f>'3 насосная станция ДТ'!I40</f>
        <v>0333</v>
      </c>
      <c r="F303" s="671">
        <f>'3 насосная станция ДТ'!K40</f>
        <v>2.7E-4</v>
      </c>
      <c r="G303" s="672">
        <f>'3 насосная станция ДТ'!L40</f>
        <v>2.0000000000000001E-4</v>
      </c>
      <c r="H303" s="671">
        <f>'3 насосная станция ДТ'!K40</f>
        <v>2.7E-4</v>
      </c>
      <c r="I303" s="673">
        <f>'3 насосная станция ДТ'!L40</f>
        <v>2.0000000000000001E-4</v>
      </c>
      <c r="J303" s="674">
        <f>'3 насосная станция ДТ'!K40</f>
        <v>2.7E-4</v>
      </c>
      <c r="K303" s="530">
        <f>'3 насосная станция ДТ'!L40</f>
        <v>2.0000000000000001E-4</v>
      </c>
      <c r="L303" s="671">
        <f>'3 насосная станция ДТ'!K40</f>
        <v>2.7E-4</v>
      </c>
      <c r="M303" s="672">
        <f>'3 насосная станция ДТ'!L40</f>
        <v>2.0000000000000001E-4</v>
      </c>
      <c r="N303" s="671">
        <f>'3 насосная станция ДТ'!K49</f>
        <v>2.7E-4</v>
      </c>
      <c r="O303" s="672">
        <f>'3 насосная станция ДТ'!L49</f>
        <v>2.3000000000000003E-5</v>
      </c>
    </row>
    <row r="304" spans="2:15" s="530" customFormat="1" ht="42.75" customHeight="1" x14ac:dyDescent="0.25">
      <c r="B304" s="532" t="s">
        <v>1252</v>
      </c>
      <c r="C304" s="533" t="s">
        <v>403</v>
      </c>
      <c r="D304" s="662" t="str">
        <f>'9.1 склад известняка'!V48</f>
        <v>Кальций карбонат</v>
      </c>
      <c r="E304" s="666">
        <f>'9.1 склад известняка'!W48</f>
        <v>3119</v>
      </c>
      <c r="F304" s="664"/>
      <c r="G304" s="665"/>
      <c r="H304" s="664"/>
      <c r="I304" s="666"/>
      <c r="J304" s="667"/>
      <c r="K304" s="668"/>
      <c r="L304" s="664">
        <f>'9.1 склад известняка'!Y48</f>
        <v>1.5145999999999999</v>
      </c>
      <c r="M304" s="665">
        <f>'9.1 склад известняка'!Z48</f>
        <v>11.1716</v>
      </c>
      <c r="N304" s="664">
        <f>'9.1 склад известняка'!Y48</f>
        <v>1.5145999999999999</v>
      </c>
      <c r="O304" s="665">
        <f>'9.1 склад известняка'!Z48</f>
        <v>11.1716</v>
      </c>
    </row>
    <row r="305" spans="2:15" s="530" customFormat="1" ht="69" customHeight="1" x14ac:dyDescent="0.25">
      <c r="B305" s="532" t="s">
        <v>761</v>
      </c>
      <c r="C305" s="533" t="s">
        <v>767</v>
      </c>
      <c r="D305" s="662" t="str">
        <f>'9.2 площадки известняка №№1,2'!V24</f>
        <v>Кальций карбонат</v>
      </c>
      <c r="E305" s="666">
        <f>'9.2 площадки известняка №№1,2'!W24</f>
        <v>3119</v>
      </c>
      <c r="F305" s="664"/>
      <c r="G305" s="665"/>
      <c r="H305" s="664"/>
      <c r="I305" s="666"/>
      <c r="J305" s="667"/>
      <c r="K305" s="668"/>
      <c r="L305" s="664">
        <f>'9.2 площадки известняка №№1,2'!Y11</f>
        <v>0.1323</v>
      </c>
      <c r="M305" s="665">
        <f>'9.2 площадки известняка №№1,2'!Z11</f>
        <v>0.42</v>
      </c>
      <c r="N305" s="664">
        <f>'9.2 площадки известняка №№1,2'!Y24</f>
        <v>0.2465</v>
      </c>
      <c r="O305" s="665">
        <f>'9.2 площадки известняка №№1,2'!Z24</f>
        <v>1.6813</v>
      </c>
    </row>
    <row r="306" spans="2:15" ht="69" customHeight="1" x14ac:dyDescent="0.25">
      <c r="B306" s="532" t="s">
        <v>762</v>
      </c>
      <c r="C306" s="533" t="s">
        <v>771</v>
      </c>
      <c r="D306" s="662" t="str">
        <f>'9.2 площадки известняка №№1,2'!V30</f>
        <v>Кальций карбонат</v>
      </c>
      <c r="E306" s="666">
        <f>'9.2 площадки известняка №№1,2'!W30</f>
        <v>3119</v>
      </c>
      <c r="F306" s="664"/>
      <c r="G306" s="665"/>
      <c r="H306" s="664"/>
      <c r="I306" s="666"/>
      <c r="J306" s="667"/>
      <c r="K306" s="668"/>
      <c r="L306" s="664">
        <f>'9.2 площадки известняка №№1,2'!Y17</f>
        <v>0.1323</v>
      </c>
      <c r="M306" s="665">
        <f>'9.2 площадки известняка №№1,2'!Z17</f>
        <v>0.42</v>
      </c>
      <c r="N306" s="664">
        <f>'9.2 площадки известняка №№1,2'!Y30</f>
        <v>0.2465</v>
      </c>
      <c r="O306" s="665">
        <f>'9.2 площадки известняка №№1,2'!Z30</f>
        <v>1.6813</v>
      </c>
    </row>
    <row r="307" spans="2:15" ht="48" customHeight="1" x14ac:dyDescent="0.25">
      <c r="B307" s="532" t="s">
        <v>1253</v>
      </c>
      <c r="C307" s="533" t="s">
        <v>1416</v>
      </c>
      <c r="D307" s="662" t="str">
        <f>'18 склад техногенного грунта'!U45</f>
        <v>Пыль неорг.с сод-м SiO2 70-20%</v>
      </c>
      <c r="E307" s="662">
        <f>'18 склад техногенного грунта'!V45</f>
        <v>2908</v>
      </c>
      <c r="F307" s="664"/>
      <c r="G307" s="666"/>
      <c r="H307" s="667"/>
      <c r="I307" s="668"/>
      <c r="J307" s="664"/>
      <c r="K307" s="663"/>
      <c r="L307" s="667"/>
      <c r="M307" s="668"/>
      <c r="N307" s="664">
        <f>'18 склад техногенного грунта'!X45</f>
        <v>4.1599999999999998E-2</v>
      </c>
      <c r="O307" s="665">
        <f>'18 склад техногенного грунта'!Y45</f>
        <v>0.33069999999999999</v>
      </c>
    </row>
    <row r="308" spans="2:15" ht="15" customHeight="1" thickBot="1" x14ac:dyDescent="0.3">
      <c r="B308" s="534"/>
      <c r="F308" s="637"/>
      <c r="G308" s="634"/>
      <c r="H308" s="637"/>
      <c r="I308" s="634"/>
      <c r="J308" s="635"/>
      <c r="L308" s="637"/>
      <c r="M308" s="636"/>
      <c r="N308" s="637"/>
      <c r="O308" s="636"/>
    </row>
    <row r="309" spans="2:15" s="530" customFormat="1" ht="19.5" customHeight="1" thickBot="1" x14ac:dyDescent="0.3">
      <c r="B309" s="536"/>
      <c r="C309" s="537"/>
      <c r="D309" s="684" t="s">
        <v>1156</v>
      </c>
      <c r="E309" s="685"/>
      <c r="F309" s="686">
        <f t="shared" ref="F309:O309" si="0">SUM(F5:F307)</f>
        <v>10.827886000000001</v>
      </c>
      <c r="G309" s="686">
        <f t="shared" si="0"/>
        <v>63.626965999999989</v>
      </c>
      <c r="H309" s="687">
        <f t="shared" si="0"/>
        <v>10.960127013999998</v>
      </c>
      <c r="I309" s="688">
        <f t="shared" si="0"/>
        <v>63.905937045999977</v>
      </c>
      <c r="J309" s="686">
        <f t="shared" si="0"/>
        <v>10.960127013999998</v>
      </c>
      <c r="K309" s="689">
        <f t="shared" si="0"/>
        <v>63.905937045999977</v>
      </c>
      <c r="L309" s="687">
        <f t="shared" si="0"/>
        <v>28.223918084000008</v>
      </c>
      <c r="M309" s="690">
        <f t="shared" si="0"/>
        <v>79.847528047000068</v>
      </c>
      <c r="N309" s="687">
        <f t="shared" si="0"/>
        <v>28.493918084000008</v>
      </c>
      <c r="O309" s="690">
        <f t="shared" si="0"/>
        <v>39.586342048999988</v>
      </c>
    </row>
    <row r="310" spans="2:15" s="531" customFormat="1" x14ac:dyDescent="0.25">
      <c r="B310" s="518"/>
      <c r="C310" s="535"/>
      <c r="D310" s="683"/>
      <c r="F310" s="531">
        <f>'1 котельная+парогенераторная'!V97+'2 склад резервуаров ДТ'!V37+'3 насосная станция ДТ'!M40</f>
        <v>10.827885999999998</v>
      </c>
      <c r="G310" s="531">
        <f>'1 котельная+парогенераторная'!W97+'2 склад резервуаров ДТ'!W37+'3 насосная станция ДТ'!N40</f>
        <v>63.626965999999996</v>
      </c>
      <c r="H310" s="531">
        <f>'1 котельная+парогенераторная'!V97+'2 склад резервуаров ДТ'!V37+'3 насосная станция ДТ'!M40+'4 сварка'!S143+'5 станки'!O63+'6 мойка деталей, обезжиривание'!K50+'7 пайка'!M39+'8 замена масла'!T30+'11 абразивоструйка'!L28</f>
        <v>10.960127013999998</v>
      </c>
      <c r="I310" s="531">
        <f>'1 котельная+парогенераторная'!W97+'2 склад резервуаров ДТ'!W37+'3 насосная станция ДТ'!N40+'4 сварка'!T143+'5 станки'!P63+'6 мойка деталей, обезжиривание'!L50+'7 пайка'!N39+'8 замена масла'!U30+'11 абразивоструйка'!M28</f>
        <v>63.905937045999991</v>
      </c>
      <c r="J310" s="531">
        <f>'1 котельная+парогенераторная'!V97+'2 склад резервуаров ДТ'!V37+'3 насосная станция ДТ'!M40+'4 сварка'!S143+'5 станки'!O63+'6 мойка деталей, обезжиривание'!K50+'7 пайка'!M39+'8 замена масла'!T30+'11 абразивоструйка'!L28</f>
        <v>10.960127013999998</v>
      </c>
      <c r="K310" s="531">
        <f>'1 котельная+парогенераторная'!W97+'2 склад резервуаров ДТ'!W37+'3 насосная станция ДТ'!N40+'4 сварка'!T143+'5 станки'!P63+'6 мойка деталей, обезжиривание'!L50+'7 пайка'!N39+'8 замена масла'!U30+'11 абразивоструйка'!M28</f>
        <v>63.905937045999991</v>
      </c>
      <c r="L310" s="531">
        <f>'1 котельная+парогенераторная'!V97+'1 котельная+парогенераторная'!V102+'2 склад резервуаров ДТ'!V37+'3 насосная станция ДТ'!M40+'4 сварка'!S143+'5 станки'!O63+'6 мойка деталей, обезжиривание'!K50+'7 пайка'!M39+'8 замена масла'!T30+'9.1 склад известняка'!AA48+'9.2 площадки известняка №№1,2'!AA18+'10 ДЭС'!O32+'11 абразивоструйка'!L28+'12 ЦАЛ'!K70+'13 Корпус CIL'!K136+'14ГМЦ+Насосная УОП'!K44+'15 Помещение склада извести'!K19+'16 емкости УСПК'!K23+'17 УПИИ'!K22</f>
        <v>28.223918084000001</v>
      </c>
      <c r="M310" s="531">
        <f>'1 котельная+парогенераторная'!W97+'1 котельная+парогенераторная'!W102+'2 склад резервуаров ДТ'!W37+'3 насосная станция ДТ'!N40+'4 сварка'!T143+'5 станки'!P63+'6 мойка деталей, обезжиривание'!L50+'7 пайка'!N39+'8 замена масла'!U30+'9.1 склад известняка'!AB48+'9.2 площадки известняка №№1,2'!AB18+'10 ДЭС'!P32+'11 абразивоструйка'!M28+'12 ЦАЛ'!L70+'13 Корпус CIL'!L136+'14ГМЦ+Насосная УОП'!L44+'15 Помещение склада извести'!L19+'16 емкости УСПК'!L23+'17 УПИИ'!L22</f>
        <v>79.536728046999997</v>
      </c>
      <c r="N310" s="531">
        <f>'1 котельная+парогенераторная'!V134+'2 склад резервуаров ДТ'!V42+'3 насосная станция ДТ'!M49+'4 сварка'!S143+'5 станки'!O63+'6 мойка деталей, обезжиривание'!K50+'7 пайка'!M39+'8 замена масла'!T30+'9.1 склад известняка'!AA48+'9.2 площадки известняка №№1,2'!AA31+'10 ДЭС'!O41+'11 абразивоструйка'!L28+'12 ЦАЛ'!K123+'13 Корпус CIL'!K255+'14ГМЦ+Насосная УОП'!K71+'15 Помещение склада извести'!K19+'16 емкости УСПК'!K30+'17 УПИИ'!K28+'18 склад техногенного грунта'!Z45</f>
        <v>28.493918083999997</v>
      </c>
      <c r="O310" s="531">
        <f>'1 котельная+парогенераторная'!W134+'2 склад резервуаров ДТ'!W42+'3 насосная станция ДТ'!N49+'4 сварка'!T143+'5 станки'!P63+'6 мойка деталей, обезжиривание'!L50+'7 пайка'!N39+'8 замена масла'!U30+'9.1 склад известняка'!AB48+'9.2 площадки известняка №№1,2'!AB31+'10 ДЭС'!P41+'11 абразивоструйка'!M28+'12 ЦАЛ'!L123+'13 Корпус CIL'!L255+'14ГМЦ+Насосная УОП'!L71+'15 Помещение склада извести'!L19+'16 емкости УСПК'!L30+'17 УПИИ'!L28+'18 склад техногенного грунта'!AA45</f>
        <v>39.586342048999995</v>
      </c>
    </row>
    <row r="311" spans="2:15" s="531" customFormat="1" x14ac:dyDescent="0.25">
      <c r="B311" s="518"/>
      <c r="C311" s="535"/>
      <c r="D311" s="683"/>
      <c r="F311" s="531">
        <f>F309-F310</f>
        <v>0</v>
      </c>
      <c r="G311" s="531">
        <f t="shared" ref="G311:O311" si="1">G309-G310</f>
        <v>0</v>
      </c>
      <c r="H311" s="531">
        <f t="shared" si="1"/>
        <v>0</v>
      </c>
      <c r="I311" s="531">
        <f t="shared" si="1"/>
        <v>0</v>
      </c>
      <c r="J311" s="531">
        <f t="shared" si="1"/>
        <v>0</v>
      </c>
      <c r="K311" s="531">
        <f t="shared" si="1"/>
        <v>0</v>
      </c>
      <c r="L311" s="531">
        <f t="shared" si="1"/>
        <v>0</v>
      </c>
      <c r="M311" s="531">
        <f t="shared" si="1"/>
        <v>0.31080000000007146</v>
      </c>
      <c r="N311" s="531">
        <f t="shared" si="1"/>
        <v>0</v>
      </c>
      <c r="O311" s="531">
        <f t="shared" si="1"/>
        <v>0</v>
      </c>
    </row>
    <row r="312" spans="2:15" x14ac:dyDescent="0.25">
      <c r="H312" s="691"/>
      <c r="I312" s="691"/>
      <c r="L312" s="692"/>
      <c r="M312" s="693"/>
    </row>
    <row r="313" spans="2:15" ht="21" customHeight="1" x14ac:dyDescent="0.25">
      <c r="B313" s="521"/>
      <c r="C313" s="538"/>
      <c r="D313" s="1021" t="s">
        <v>1394</v>
      </c>
      <c r="E313" s="1021"/>
      <c r="F313" s="1021"/>
      <c r="G313" s="1021"/>
      <c r="H313" s="1021"/>
      <c r="I313" s="1021"/>
      <c r="J313" s="1021"/>
      <c r="K313" s="1021"/>
      <c r="L313" s="1021"/>
      <c r="M313" s="1021"/>
      <c r="N313" s="616"/>
      <c r="O313" s="616"/>
    </row>
    <row r="314" spans="2:15" ht="20.100000000000001" customHeight="1" x14ac:dyDescent="0.25">
      <c r="F314" s="1014" t="s">
        <v>1157</v>
      </c>
      <c r="G314" s="1014"/>
      <c r="H314" s="1014" t="s">
        <v>1157</v>
      </c>
      <c r="I314" s="1014"/>
      <c r="J314" s="1014" t="s">
        <v>1157</v>
      </c>
      <c r="K314" s="1014"/>
      <c r="L314" s="1014" t="s">
        <v>1157</v>
      </c>
      <c r="M314" s="1014"/>
      <c r="N314" s="1014" t="s">
        <v>1157</v>
      </c>
      <c r="O314" s="1014"/>
    </row>
    <row r="315" spans="2:15" s="522" customFormat="1" ht="15.75" customHeight="1" x14ac:dyDescent="0.25">
      <c r="B315" s="518"/>
      <c r="C315" s="520"/>
      <c r="D315" s="1016" t="s">
        <v>1158</v>
      </c>
      <c r="E315" s="1018" t="s">
        <v>1155</v>
      </c>
      <c r="F315" s="1015" t="s">
        <v>987</v>
      </c>
      <c r="G315" s="1015"/>
      <c r="H315" s="1015" t="s">
        <v>1151</v>
      </c>
      <c r="I315" s="1015"/>
      <c r="J315" s="1015" t="s">
        <v>1152</v>
      </c>
      <c r="K315" s="1015"/>
      <c r="L315" s="1015" t="s">
        <v>1153</v>
      </c>
      <c r="M315" s="1015"/>
      <c r="N315" s="1015" t="s">
        <v>1244</v>
      </c>
      <c r="O315" s="1015"/>
    </row>
    <row r="316" spans="2:15" ht="14.25" customHeight="1" x14ac:dyDescent="0.25">
      <c r="D316" s="1017"/>
      <c r="E316" s="1019"/>
      <c r="F316" s="694" t="s">
        <v>18</v>
      </c>
      <c r="G316" s="694" t="s">
        <v>19</v>
      </c>
      <c r="H316" s="694" t="s">
        <v>18</v>
      </c>
      <c r="I316" s="694" t="s">
        <v>18</v>
      </c>
      <c r="J316" s="694" t="s">
        <v>18</v>
      </c>
      <c r="K316" s="694" t="s">
        <v>18</v>
      </c>
      <c r="L316" s="694" t="s">
        <v>18</v>
      </c>
      <c r="M316" s="694" t="s">
        <v>19</v>
      </c>
      <c r="N316" s="694" t="s">
        <v>18</v>
      </c>
      <c r="O316" s="694" t="s">
        <v>19</v>
      </c>
    </row>
    <row r="317" spans="2:15" ht="20.100000000000001" customHeight="1" x14ac:dyDescent="0.25">
      <c r="D317" s="695">
        <v>1</v>
      </c>
      <c r="E317" s="696">
        <v>2</v>
      </c>
      <c r="F317" s="696">
        <v>3</v>
      </c>
      <c r="G317" s="696">
        <v>4</v>
      </c>
      <c r="H317" s="696">
        <v>5</v>
      </c>
      <c r="I317" s="696">
        <v>5</v>
      </c>
      <c r="J317" s="696">
        <v>7</v>
      </c>
      <c r="K317" s="696">
        <v>7</v>
      </c>
      <c r="L317" s="696">
        <v>9</v>
      </c>
      <c r="M317" s="696">
        <v>10</v>
      </c>
      <c r="N317" s="696">
        <v>9</v>
      </c>
      <c r="O317" s="696">
        <v>10</v>
      </c>
    </row>
    <row r="318" spans="2:15" ht="30" customHeight="1" x14ac:dyDescent="0.25">
      <c r="D318" s="695" t="s">
        <v>273</v>
      </c>
      <c r="E318" s="696" t="s">
        <v>274</v>
      </c>
      <c r="F318" s="696">
        <f t="shared" ref="F318:O318" si="2">F68</f>
        <v>0</v>
      </c>
      <c r="G318" s="696">
        <f t="shared" si="2"/>
        <v>0</v>
      </c>
      <c r="H318" s="696">
        <f t="shared" si="2"/>
        <v>1.024E-3</v>
      </c>
      <c r="I318" s="696">
        <f t="shared" si="2"/>
        <v>1.8470000000000001E-3</v>
      </c>
      <c r="J318" s="696">
        <f t="shared" si="2"/>
        <v>1.024E-3</v>
      </c>
      <c r="K318" s="696">
        <f t="shared" si="2"/>
        <v>1.8470000000000001E-3</v>
      </c>
      <c r="L318" s="696">
        <f t="shared" si="2"/>
        <v>1.024E-3</v>
      </c>
      <c r="M318" s="696">
        <f t="shared" si="2"/>
        <v>1.8470000000000001E-3</v>
      </c>
      <c r="N318" s="696">
        <f t="shared" si="2"/>
        <v>1.024E-3</v>
      </c>
      <c r="O318" s="696">
        <f t="shared" si="2"/>
        <v>1.8470000000000001E-3</v>
      </c>
    </row>
    <row r="319" spans="2:15" ht="30" customHeight="1" x14ac:dyDescent="0.25">
      <c r="D319" s="695" t="s">
        <v>602</v>
      </c>
      <c r="E319" s="696" t="s">
        <v>603</v>
      </c>
      <c r="F319" s="696">
        <f>F203+F271</f>
        <v>0</v>
      </c>
      <c r="G319" s="696">
        <f t="shared" ref="G319:O319" si="3">G203+G271</f>
        <v>0</v>
      </c>
      <c r="H319" s="696">
        <f t="shared" si="3"/>
        <v>0</v>
      </c>
      <c r="I319" s="696">
        <f t="shared" ref="I319" si="4">I203+I271</f>
        <v>0</v>
      </c>
      <c r="J319" s="696">
        <f t="shared" si="3"/>
        <v>0</v>
      </c>
      <c r="K319" s="696">
        <f t="shared" ref="K319" si="5">K203+K271</f>
        <v>0</v>
      </c>
      <c r="L319" s="696">
        <f t="shared" si="3"/>
        <v>4.0000000000000002E-4</v>
      </c>
      <c r="M319" s="696">
        <f t="shared" si="3"/>
        <v>3.1800000000000001E-3</v>
      </c>
      <c r="N319" s="696">
        <f t="shared" si="3"/>
        <v>4.0000000000000002E-4</v>
      </c>
      <c r="O319" s="696">
        <f t="shared" si="3"/>
        <v>1.2620000000000001E-2</v>
      </c>
    </row>
    <row r="320" spans="2:15" ht="30" customHeight="1" x14ac:dyDescent="0.25">
      <c r="D320" s="662" t="s">
        <v>130</v>
      </c>
      <c r="E320" s="663" t="s">
        <v>131</v>
      </c>
      <c r="F320" s="696">
        <f t="shared" ref="F320:O320" si="6">F34+F46+F63+F75</f>
        <v>0</v>
      </c>
      <c r="G320" s="696">
        <f t="shared" si="6"/>
        <v>0</v>
      </c>
      <c r="H320" s="696">
        <f t="shared" si="6"/>
        <v>2.0999999999999999E-3</v>
      </c>
      <c r="I320" s="696">
        <f t="shared" si="6"/>
        <v>6.502E-3</v>
      </c>
      <c r="J320" s="696">
        <f t="shared" si="6"/>
        <v>2.0999999999999999E-3</v>
      </c>
      <c r="K320" s="696">
        <f t="shared" si="6"/>
        <v>6.502E-3</v>
      </c>
      <c r="L320" s="696">
        <f t="shared" si="6"/>
        <v>2.0999999999999999E-3</v>
      </c>
      <c r="M320" s="696">
        <f t="shared" si="6"/>
        <v>6.502E-3</v>
      </c>
      <c r="N320" s="696">
        <f t="shared" si="6"/>
        <v>2.0999999999999999E-3</v>
      </c>
      <c r="O320" s="696">
        <f t="shared" si="6"/>
        <v>6.502E-3</v>
      </c>
    </row>
    <row r="321" spans="4:15" ht="30" customHeight="1" x14ac:dyDescent="0.25">
      <c r="D321" s="662" t="s">
        <v>579</v>
      </c>
      <c r="E321" s="663" t="s">
        <v>580</v>
      </c>
      <c r="F321" s="696">
        <f t="shared" ref="F321:O321" si="7">F91+F181+F220+F264+F266+F286+F291+F292</f>
        <v>0</v>
      </c>
      <c r="G321" s="696">
        <f t="shared" si="7"/>
        <v>0</v>
      </c>
      <c r="H321" s="696">
        <f t="shared" si="7"/>
        <v>0</v>
      </c>
      <c r="I321" s="696">
        <f t="shared" si="7"/>
        <v>0</v>
      </c>
      <c r="J321" s="696">
        <f t="shared" si="7"/>
        <v>0</v>
      </c>
      <c r="K321" s="696">
        <f t="shared" si="7"/>
        <v>0</v>
      </c>
      <c r="L321" s="696">
        <f t="shared" si="7"/>
        <v>3.7822000000000001E-2</v>
      </c>
      <c r="M321" s="696">
        <f t="shared" si="7"/>
        <v>0.36675999999999997</v>
      </c>
      <c r="N321" s="696">
        <f t="shared" si="7"/>
        <v>3.7822000000000001E-2</v>
      </c>
      <c r="O321" s="696">
        <f t="shared" si="7"/>
        <v>1.1624400000000001</v>
      </c>
    </row>
    <row r="322" spans="4:15" ht="30" customHeight="1" x14ac:dyDescent="0.25">
      <c r="D322" s="662" t="s">
        <v>132</v>
      </c>
      <c r="E322" s="663" t="s">
        <v>133</v>
      </c>
      <c r="F322" s="696">
        <f t="shared" ref="F322:O322" si="8">F35+F47+F64+F76</f>
        <v>0</v>
      </c>
      <c r="G322" s="696">
        <f t="shared" si="8"/>
        <v>0</v>
      </c>
      <c r="H322" s="696">
        <f t="shared" si="8"/>
        <v>2.3199999999999997E-4</v>
      </c>
      <c r="I322" s="696">
        <f t="shared" si="8"/>
        <v>6.9999999999999999E-4</v>
      </c>
      <c r="J322" s="696">
        <f t="shared" si="8"/>
        <v>2.3199999999999997E-4</v>
      </c>
      <c r="K322" s="696">
        <f t="shared" si="8"/>
        <v>6.9999999999999999E-4</v>
      </c>
      <c r="L322" s="696">
        <f t="shared" si="8"/>
        <v>2.3199999999999997E-4</v>
      </c>
      <c r="M322" s="696">
        <f t="shared" si="8"/>
        <v>6.9999999999999999E-4</v>
      </c>
      <c r="N322" s="696">
        <f t="shared" si="8"/>
        <v>2.3199999999999997E-4</v>
      </c>
      <c r="O322" s="696">
        <f t="shared" si="8"/>
        <v>6.9999999999999999E-4</v>
      </c>
    </row>
    <row r="323" spans="4:15" ht="30" customHeight="1" x14ac:dyDescent="0.25">
      <c r="D323" s="662" t="s">
        <v>451</v>
      </c>
      <c r="E323" s="663" t="s">
        <v>452</v>
      </c>
      <c r="F323" s="696">
        <f t="shared" ref="F323:O323" si="9">F99+F125+F129</f>
        <v>0</v>
      </c>
      <c r="G323" s="696">
        <f t="shared" si="9"/>
        <v>0</v>
      </c>
      <c r="H323" s="696">
        <f t="shared" si="9"/>
        <v>0</v>
      </c>
      <c r="I323" s="696">
        <f t="shared" si="9"/>
        <v>0</v>
      </c>
      <c r="J323" s="696">
        <f t="shared" si="9"/>
        <v>0</v>
      </c>
      <c r="K323" s="696">
        <f t="shared" si="9"/>
        <v>0</v>
      </c>
      <c r="L323" s="696">
        <f t="shared" si="9"/>
        <v>1.166E-2</v>
      </c>
      <c r="M323" s="696">
        <f t="shared" si="9"/>
        <v>9.1900000000000009E-2</v>
      </c>
      <c r="N323" s="696">
        <f t="shared" si="9"/>
        <v>1.166E-2</v>
      </c>
      <c r="O323" s="696">
        <f t="shared" si="9"/>
        <v>0.36770000000000003</v>
      </c>
    </row>
    <row r="324" spans="4:15" ht="30" customHeight="1" x14ac:dyDescent="0.25">
      <c r="D324" s="662" t="s">
        <v>250</v>
      </c>
      <c r="E324" s="663" t="s">
        <v>251</v>
      </c>
      <c r="F324" s="696">
        <f t="shared" ref="F324:O324" si="10">F57+F61+F166+F167+F168+F169+F170+F172+F183+F186+F190+F197+F201+F222+F226+F237+F245+F247+F249+F251+F260+F261+F262+F269+F281</f>
        <v>0</v>
      </c>
      <c r="G324" s="696">
        <f t="shared" si="10"/>
        <v>0</v>
      </c>
      <c r="H324" s="696">
        <f t="shared" si="10"/>
        <v>3.3000000000000002E-2</v>
      </c>
      <c r="I324" s="696">
        <f t="shared" si="10"/>
        <v>7.0440000000000003E-2</v>
      </c>
      <c r="J324" s="696">
        <f t="shared" si="10"/>
        <v>3.3000000000000002E-2</v>
      </c>
      <c r="K324" s="696">
        <f t="shared" si="10"/>
        <v>7.0440000000000003E-2</v>
      </c>
      <c r="L324" s="696">
        <f t="shared" si="10"/>
        <v>8.2116350000000018E-2</v>
      </c>
      <c r="M324" s="696">
        <f t="shared" si="10"/>
        <v>0.45761100000000005</v>
      </c>
      <c r="N324" s="696">
        <f t="shared" si="10"/>
        <v>8.2116350000000018E-2</v>
      </c>
      <c r="O324" s="696">
        <f t="shared" si="10"/>
        <v>1.6190040000000003</v>
      </c>
    </row>
    <row r="325" spans="4:15" ht="30" customHeight="1" x14ac:dyDescent="0.25">
      <c r="D325" s="662" t="s">
        <v>1257</v>
      </c>
      <c r="E325" s="663" t="s">
        <v>176</v>
      </c>
      <c r="F325" s="696">
        <f t="shared" ref="F325:O325" si="11">F43+F45+F55+F62+F73+F74+F84+F85+F95</f>
        <v>0</v>
      </c>
      <c r="G325" s="696">
        <f t="shared" si="11"/>
        <v>0</v>
      </c>
      <c r="H325" s="696">
        <f t="shared" si="11"/>
        <v>6.7200000000000003E-3</v>
      </c>
      <c r="I325" s="696">
        <f t="shared" si="11"/>
        <v>8.5900000000000004E-3</v>
      </c>
      <c r="J325" s="696">
        <f t="shared" si="11"/>
        <v>6.7200000000000003E-3</v>
      </c>
      <c r="K325" s="696">
        <f t="shared" si="11"/>
        <v>8.5900000000000004E-3</v>
      </c>
      <c r="L325" s="696">
        <f t="shared" si="11"/>
        <v>7.2200000000000007E-3</v>
      </c>
      <c r="M325" s="696">
        <f t="shared" si="11"/>
        <v>1.2490000000000001E-2</v>
      </c>
      <c r="N325" s="696">
        <f t="shared" si="11"/>
        <v>7.2200000000000007E-3</v>
      </c>
      <c r="O325" s="696">
        <f t="shared" si="11"/>
        <v>2.4390000000000002E-2</v>
      </c>
    </row>
    <row r="326" spans="4:15" ht="30" customHeight="1" x14ac:dyDescent="0.25">
      <c r="D326" s="662" t="s">
        <v>586</v>
      </c>
      <c r="E326" s="663" t="s">
        <v>587</v>
      </c>
      <c r="F326" s="696">
        <f t="shared" ref="F326:O326" si="12">F187</f>
        <v>0</v>
      </c>
      <c r="G326" s="696">
        <f t="shared" si="12"/>
        <v>0</v>
      </c>
      <c r="H326" s="696">
        <f t="shared" si="12"/>
        <v>0</v>
      </c>
      <c r="I326" s="696">
        <f t="shared" ref="I326" si="13">I187</f>
        <v>0</v>
      </c>
      <c r="J326" s="696">
        <f t="shared" si="12"/>
        <v>0</v>
      </c>
      <c r="K326" s="696">
        <f t="shared" ref="K326" si="14">K187</f>
        <v>0</v>
      </c>
      <c r="L326" s="696">
        <f t="shared" si="12"/>
        <v>4.0000000000000003E-5</v>
      </c>
      <c r="M326" s="696">
        <f t="shared" si="12"/>
        <v>3.2000000000000003E-4</v>
      </c>
      <c r="N326" s="696">
        <f t="shared" si="12"/>
        <v>4.0000000000000003E-5</v>
      </c>
      <c r="O326" s="696">
        <f t="shared" si="12"/>
        <v>1.2999999999999999E-3</v>
      </c>
    </row>
    <row r="327" spans="4:15" ht="30" customHeight="1" x14ac:dyDescent="0.25">
      <c r="D327" s="662" t="s">
        <v>270</v>
      </c>
      <c r="E327" s="663" t="s">
        <v>271</v>
      </c>
      <c r="F327" s="696">
        <f t="shared" ref="F327:O327" si="15">F67</f>
        <v>0</v>
      </c>
      <c r="G327" s="696">
        <f t="shared" si="15"/>
        <v>0</v>
      </c>
      <c r="H327" s="696">
        <f t="shared" si="15"/>
        <v>3.0000000000000001E-6</v>
      </c>
      <c r="I327" s="696">
        <f t="shared" si="15"/>
        <v>1.1E-5</v>
      </c>
      <c r="J327" s="696">
        <f t="shared" si="15"/>
        <v>3.0000000000000001E-6</v>
      </c>
      <c r="K327" s="696">
        <f t="shared" si="15"/>
        <v>1.1E-5</v>
      </c>
      <c r="L327" s="696">
        <f t="shared" si="15"/>
        <v>3.0000000000000001E-6</v>
      </c>
      <c r="M327" s="696">
        <f t="shared" si="15"/>
        <v>1.1E-5</v>
      </c>
      <c r="N327" s="696">
        <f t="shared" si="15"/>
        <v>3.0000000000000001E-6</v>
      </c>
      <c r="O327" s="696">
        <f t="shared" si="15"/>
        <v>1.1E-5</v>
      </c>
    </row>
    <row r="328" spans="4:15" ht="30" customHeight="1" x14ac:dyDescent="0.25">
      <c r="D328" s="662" t="s">
        <v>1259</v>
      </c>
      <c r="E328" s="663" t="s">
        <v>228</v>
      </c>
      <c r="F328" s="696">
        <f t="shared" ref="F328:O328" si="16">F60+F90</f>
        <v>0</v>
      </c>
      <c r="G328" s="696">
        <f t="shared" si="16"/>
        <v>0</v>
      </c>
      <c r="H328" s="696">
        <f t="shared" si="16"/>
        <v>6.0000000000000008E-9</v>
      </c>
      <c r="I328" s="696">
        <f t="shared" si="16"/>
        <v>1.8999999999999998E-8</v>
      </c>
      <c r="J328" s="696">
        <f t="shared" si="16"/>
        <v>6.0000000000000008E-9</v>
      </c>
      <c r="K328" s="696">
        <f t="shared" si="16"/>
        <v>1.8999999999999998E-8</v>
      </c>
      <c r="L328" s="696">
        <f t="shared" si="16"/>
        <v>6.0000000000000008E-9</v>
      </c>
      <c r="M328" s="696">
        <f t="shared" si="16"/>
        <v>1.8999999999999998E-8</v>
      </c>
      <c r="N328" s="696">
        <f t="shared" si="16"/>
        <v>6.0000000000000008E-9</v>
      </c>
      <c r="O328" s="696">
        <f t="shared" si="16"/>
        <v>1.8999999999999998E-8</v>
      </c>
    </row>
    <row r="329" spans="4:15" ht="30" customHeight="1" x14ac:dyDescent="0.25">
      <c r="D329" s="662" t="s">
        <v>1260</v>
      </c>
      <c r="E329" s="663" t="s">
        <v>226</v>
      </c>
      <c r="F329" s="696">
        <f t="shared" ref="F329:O329" si="17">F59+F89+F100+F126+F130</f>
        <v>0</v>
      </c>
      <c r="G329" s="696">
        <f t="shared" si="17"/>
        <v>0</v>
      </c>
      <c r="H329" s="696">
        <f t="shared" si="17"/>
        <v>8.0000000000000005E-9</v>
      </c>
      <c r="I329" s="696">
        <f t="shared" si="17"/>
        <v>2.7E-8</v>
      </c>
      <c r="J329" s="696">
        <f t="shared" si="17"/>
        <v>8.0000000000000005E-9</v>
      </c>
      <c r="K329" s="696">
        <f t="shared" si="17"/>
        <v>2.7E-8</v>
      </c>
      <c r="L329" s="696">
        <f t="shared" si="17"/>
        <v>5.1000800000000005E-4</v>
      </c>
      <c r="M329" s="696">
        <f t="shared" si="17"/>
        <v>4.0400269999999999E-3</v>
      </c>
      <c r="N329" s="696">
        <f t="shared" si="17"/>
        <v>5.1000800000000005E-4</v>
      </c>
      <c r="O329" s="696">
        <f t="shared" si="17"/>
        <v>1.6050027000000001E-2</v>
      </c>
    </row>
    <row r="330" spans="4:15" ht="30" customHeight="1" x14ac:dyDescent="0.25">
      <c r="D330" s="662" t="s">
        <v>264</v>
      </c>
      <c r="E330" s="663" t="s">
        <v>265</v>
      </c>
      <c r="F330" s="696">
        <f t="shared" ref="F330:O330" si="18">F65</f>
        <v>0</v>
      </c>
      <c r="G330" s="696">
        <f t="shared" si="18"/>
        <v>0</v>
      </c>
      <c r="H330" s="696">
        <f t="shared" si="18"/>
        <v>1.2999999999999999E-5</v>
      </c>
      <c r="I330" s="696">
        <f t="shared" si="18"/>
        <v>5.2000000000000004E-5</v>
      </c>
      <c r="J330" s="696">
        <f t="shared" si="18"/>
        <v>1.2999999999999999E-5</v>
      </c>
      <c r="K330" s="696">
        <f t="shared" si="18"/>
        <v>5.2000000000000004E-5</v>
      </c>
      <c r="L330" s="696">
        <f t="shared" si="18"/>
        <v>1.2999999999999999E-5</v>
      </c>
      <c r="M330" s="696">
        <f t="shared" si="18"/>
        <v>5.2000000000000004E-5</v>
      </c>
      <c r="N330" s="696">
        <f t="shared" si="18"/>
        <v>1.2999999999999999E-5</v>
      </c>
      <c r="O330" s="696">
        <f t="shared" si="18"/>
        <v>5.2000000000000004E-5</v>
      </c>
    </row>
    <row r="331" spans="4:15" ht="30" customHeight="1" x14ac:dyDescent="0.25">
      <c r="D331" s="662" t="s">
        <v>573</v>
      </c>
      <c r="E331" s="663" t="s">
        <v>572</v>
      </c>
      <c r="F331" s="696">
        <f t="shared" ref="F331:O331" si="19">F173+F179+F184+F192+F212+F218+F223+F227+F231+F235+F242+F268</f>
        <v>0</v>
      </c>
      <c r="G331" s="696">
        <f t="shared" si="19"/>
        <v>0</v>
      </c>
      <c r="H331" s="696">
        <f t="shared" si="19"/>
        <v>0</v>
      </c>
      <c r="I331" s="696">
        <f t="shared" ref="I331" si="20">I173+I179+I184+I192+I212+I218+I223+I227+I231+I235+I242+I268</f>
        <v>0</v>
      </c>
      <c r="J331" s="696">
        <f t="shared" si="19"/>
        <v>0</v>
      </c>
      <c r="K331" s="696">
        <f t="shared" ref="K331" si="21">K173+K179+K184+K192+K212+K218+K223+K227+K231+K235+K242+K268</f>
        <v>0</v>
      </c>
      <c r="L331" s="696">
        <f t="shared" si="19"/>
        <v>4.4330000000000012E-3</v>
      </c>
      <c r="M331" s="696">
        <f t="shared" si="19"/>
        <v>3.4140000000000004E-2</v>
      </c>
      <c r="N331" s="696">
        <f t="shared" si="19"/>
        <v>4.4330000000000012E-3</v>
      </c>
      <c r="O331" s="696">
        <f t="shared" si="19"/>
        <v>0.13664999999999999</v>
      </c>
    </row>
    <row r="332" spans="4:15" ht="30" customHeight="1" x14ac:dyDescent="0.25">
      <c r="D332" s="662" t="s">
        <v>421</v>
      </c>
      <c r="E332" s="663" t="s">
        <v>49</v>
      </c>
      <c r="F332" s="696">
        <f t="shared" ref="F332:K332" si="22">F5+F10+F15+F20+F25+F36+F48+F70+F80+F93+F109+F115+F120+F132+F137+F294</f>
        <v>1.9232</v>
      </c>
      <c r="G332" s="696">
        <f t="shared" si="22"/>
        <v>11.2851</v>
      </c>
      <c r="H332" s="696">
        <f t="shared" si="22"/>
        <v>1.93472</v>
      </c>
      <c r="I332" s="696">
        <f t="shared" si="22"/>
        <v>11.32208</v>
      </c>
      <c r="J332" s="696">
        <f t="shared" si="22"/>
        <v>1.93472</v>
      </c>
      <c r="K332" s="696">
        <f t="shared" si="22"/>
        <v>11.32208</v>
      </c>
      <c r="L332" s="696">
        <f>L5+L10+L15+L20+L25+L36+L48+L70+L80+L93+L109+L115+L120+L132+L137+L161+L295</f>
        <v>4.7111699999999992</v>
      </c>
      <c r="M332" s="696">
        <f>M5+M10+M15+M20+M25+M36+M48+M70+M80+M93+M109+M115+M120+M132+M137+M161+M295</f>
        <v>11.513980000000002</v>
      </c>
      <c r="N332" s="696">
        <f>N5+N10+N15+N20+N25+N36+N48+N70+N80+N93+N109+N115+N120+N132+N137+N161+N295</f>
        <v>4.7111699999999992</v>
      </c>
      <c r="O332" s="696">
        <f>O5+O10+O15+O20+O25+O36+O48+O70+O80+O93+O109+O115+O120+O132+O137+O161+O295</f>
        <v>2.4015800000000005</v>
      </c>
    </row>
    <row r="333" spans="4:15" ht="30" customHeight="1" x14ac:dyDescent="0.25">
      <c r="D333" s="662" t="s">
        <v>425</v>
      </c>
      <c r="E333" s="663" t="s">
        <v>426</v>
      </c>
      <c r="F333" s="696">
        <f t="shared" ref="F333:O333" si="23">F101+F112+F117+F122+F134+F140+F142</f>
        <v>0</v>
      </c>
      <c r="G333" s="696">
        <f t="shared" si="23"/>
        <v>0</v>
      </c>
      <c r="H333" s="696">
        <f t="shared" si="23"/>
        <v>0</v>
      </c>
      <c r="I333" s="696">
        <f t="shared" si="23"/>
        <v>0</v>
      </c>
      <c r="J333" s="696">
        <f t="shared" si="23"/>
        <v>0</v>
      </c>
      <c r="K333" s="696">
        <f t="shared" si="23"/>
        <v>0</v>
      </c>
      <c r="L333" s="696">
        <f t="shared" si="23"/>
        <v>7.8000000000000005E-3</v>
      </c>
      <c r="M333" s="696">
        <f t="shared" si="23"/>
        <v>6.1459999999999994E-2</v>
      </c>
      <c r="N333" s="696">
        <f t="shared" si="23"/>
        <v>7.8000000000000005E-3</v>
      </c>
      <c r="O333" s="696">
        <f t="shared" si="23"/>
        <v>0.24596999999999999</v>
      </c>
    </row>
    <row r="334" spans="4:15" ht="30" customHeight="1" x14ac:dyDescent="0.25">
      <c r="D334" s="662" t="s">
        <v>597</v>
      </c>
      <c r="E334" s="663" t="s">
        <v>598</v>
      </c>
      <c r="F334" s="696">
        <f t="shared" ref="F334:O334" si="24">F198+F250+F252+F282</f>
        <v>0</v>
      </c>
      <c r="G334" s="696">
        <f t="shared" si="24"/>
        <v>0</v>
      </c>
      <c r="H334" s="696">
        <f t="shared" si="24"/>
        <v>0</v>
      </c>
      <c r="I334" s="696">
        <f t="shared" ref="I334" si="25">I198+I250+I252+I282</f>
        <v>0</v>
      </c>
      <c r="J334" s="696">
        <f t="shared" si="24"/>
        <v>0</v>
      </c>
      <c r="K334" s="696">
        <f t="shared" ref="K334" si="26">K198+K250+K252+K282</f>
        <v>0</v>
      </c>
      <c r="L334" s="696">
        <f t="shared" si="24"/>
        <v>3.3439999999999998E-2</v>
      </c>
      <c r="M334" s="696">
        <f t="shared" si="24"/>
        <v>0.26363999999999993</v>
      </c>
      <c r="N334" s="696">
        <f t="shared" si="24"/>
        <v>3.3439999999999998E-2</v>
      </c>
      <c r="O334" s="696">
        <f t="shared" si="24"/>
        <v>1.0545599999999999</v>
      </c>
    </row>
    <row r="335" spans="4:15" ht="30" customHeight="1" x14ac:dyDescent="0.25">
      <c r="D335" s="697" t="s">
        <v>51</v>
      </c>
      <c r="E335" s="698" t="s">
        <v>52</v>
      </c>
      <c r="F335" s="696">
        <f t="shared" ref="F335:K335" si="27">F6+F11+F16+F21+F26+F94+F105+F107+F110+F116+F121+F133+F138+F206+F274+F295</f>
        <v>0.3125</v>
      </c>
      <c r="G335" s="696">
        <f t="shared" si="27"/>
        <v>1.8335999999999999</v>
      </c>
      <c r="H335" s="696">
        <f t="shared" si="27"/>
        <v>0.3125</v>
      </c>
      <c r="I335" s="696">
        <f t="shared" si="27"/>
        <v>1.8335999999999999</v>
      </c>
      <c r="J335" s="696">
        <f t="shared" si="27"/>
        <v>0.3125</v>
      </c>
      <c r="K335" s="696">
        <f t="shared" si="27"/>
        <v>1.8335999999999999</v>
      </c>
      <c r="L335" s="696">
        <f>L6+L11+L16+L21+L26+L94+L105+L107+L110+L116+L121+L133+L138+L162+L206+L274+L296</f>
        <v>0.79452</v>
      </c>
      <c r="M335" s="696">
        <f>M6+M11+M16+M21+M26+M94+M105+M107+M110+M116+M121+M133+M138+M162+M206+M274+M296</f>
        <v>2.10798</v>
      </c>
      <c r="N335" s="696">
        <f>N6+N11+N16+N21+N26+N94+N105+N107+N110+N116+N121+N133+N138+N162+N206+N274+N296</f>
        <v>0.79452</v>
      </c>
      <c r="O335" s="696">
        <f>O6+O11+O16+O21+O26+O94+O105+O107+O110+O116+O121+O133+O138+O162+O206+O274+O296</f>
        <v>1.35788</v>
      </c>
    </row>
    <row r="336" spans="4:15" ht="30" customHeight="1" x14ac:dyDescent="0.25">
      <c r="D336" s="697" t="s">
        <v>427</v>
      </c>
      <c r="E336" s="698" t="s">
        <v>428</v>
      </c>
      <c r="F336" s="696">
        <f t="shared" ref="F336:O336" si="28">F102+F113+F118+F135+F139+F143</f>
        <v>0</v>
      </c>
      <c r="G336" s="696">
        <f t="shared" si="28"/>
        <v>0</v>
      </c>
      <c r="H336" s="696">
        <f t="shared" si="28"/>
        <v>0</v>
      </c>
      <c r="I336" s="696">
        <f t="shared" si="28"/>
        <v>0</v>
      </c>
      <c r="J336" s="696">
        <f t="shared" si="28"/>
        <v>0</v>
      </c>
      <c r="K336" s="696">
        <f t="shared" si="28"/>
        <v>0</v>
      </c>
      <c r="L336" s="696">
        <f t="shared" si="28"/>
        <v>2.1770000000000001E-2</v>
      </c>
      <c r="M336" s="696">
        <f t="shared" si="28"/>
        <v>0.17161999999999999</v>
      </c>
      <c r="N336" s="696">
        <f t="shared" si="28"/>
        <v>2.1770000000000001E-2</v>
      </c>
      <c r="O336" s="696">
        <f t="shared" si="28"/>
        <v>0.68659000000000014</v>
      </c>
    </row>
    <row r="337" spans="4:15" ht="30" customHeight="1" x14ac:dyDescent="0.25">
      <c r="D337" s="697" t="s">
        <v>1262</v>
      </c>
      <c r="E337" s="698" t="s">
        <v>571</v>
      </c>
      <c r="F337" s="696">
        <f>F171+F176+F178+F182+F188+F196+F202+F211+F215+F217+F221+F225+F229+F230+F232+F234+F236+F238+F241+F243+F246+F248+F257+F259+F267+F270+F280</f>
        <v>0</v>
      </c>
      <c r="G337" s="696">
        <f t="shared" ref="G337:O337" si="29">G171+G176+G178+G182+G188+G196+G202+G211+G215+G217+G221+G225+G229+G230+G232+G234+G236+G238+G241+G243+G246+G248+G257+G259+G267+G270+G280</f>
        <v>0</v>
      </c>
      <c r="H337" s="696">
        <f t="shared" si="29"/>
        <v>0</v>
      </c>
      <c r="I337" s="696">
        <f t="shared" si="29"/>
        <v>0</v>
      </c>
      <c r="J337" s="696">
        <f t="shared" si="29"/>
        <v>0</v>
      </c>
      <c r="K337" s="696">
        <f t="shared" si="29"/>
        <v>0</v>
      </c>
      <c r="L337" s="696">
        <f t="shared" si="29"/>
        <v>3.3156419999999999E-2</v>
      </c>
      <c r="M337" s="696">
        <f t="shared" si="29"/>
        <v>0.25581000000000004</v>
      </c>
      <c r="N337" s="696">
        <f t="shared" si="29"/>
        <v>3.3156419999999999E-2</v>
      </c>
      <c r="O337" s="696">
        <f t="shared" si="29"/>
        <v>1.02321</v>
      </c>
    </row>
    <row r="338" spans="4:15" ht="30" customHeight="1" x14ac:dyDescent="0.25">
      <c r="D338" s="697" t="s">
        <v>423</v>
      </c>
      <c r="E338" s="698" t="s">
        <v>424</v>
      </c>
      <c r="F338" s="696">
        <f t="shared" ref="F338:O338" si="30">F97+F111+F144+F145+F146+F147+F148+F149+F150+F151+F152+F153+F154+F155+F156+F157+F158+F159+F199+F208+F255+F276+F278+F287+F288+F289+F290</f>
        <v>0</v>
      </c>
      <c r="G338" s="696">
        <f t="shared" si="30"/>
        <v>0</v>
      </c>
      <c r="H338" s="696">
        <f t="shared" si="30"/>
        <v>0</v>
      </c>
      <c r="I338" s="696">
        <f t="shared" si="30"/>
        <v>0</v>
      </c>
      <c r="J338" s="696">
        <f t="shared" si="30"/>
        <v>0</v>
      </c>
      <c r="K338" s="696">
        <f t="shared" si="30"/>
        <v>0</v>
      </c>
      <c r="L338" s="696">
        <f t="shared" si="30"/>
        <v>1.3792000000000002E-2</v>
      </c>
      <c r="M338" s="696">
        <f t="shared" si="30"/>
        <v>0.10075000000000001</v>
      </c>
      <c r="N338" s="696">
        <f t="shared" si="30"/>
        <v>1.3792000000000002E-2</v>
      </c>
      <c r="O338" s="696">
        <f t="shared" si="30"/>
        <v>0.40294000000000002</v>
      </c>
    </row>
    <row r="339" spans="4:15" ht="30" customHeight="1" x14ac:dyDescent="0.25">
      <c r="D339" s="697" t="s">
        <v>61</v>
      </c>
      <c r="E339" s="698" t="s">
        <v>62</v>
      </c>
      <c r="F339" s="696">
        <f>F8+F13+F18+F23+F28+F175+F193+F214+F233+F284+F301</f>
        <v>5.67E-2</v>
      </c>
      <c r="G339" s="696">
        <f>G8+G13+G18+G23+G28+G175+G193+G214+G233+G284+G301</f>
        <v>0.33650000000000002</v>
      </c>
      <c r="H339" s="696">
        <f>H8+H13+H18+H23+H28+H175+H193+H214+H233+H284+H298</f>
        <v>5.67E-2</v>
      </c>
      <c r="I339" s="696">
        <f>I8+I13+I18+I23+I28+I175+I193+I214+I233+I284+I301</f>
        <v>0.33650000000000002</v>
      </c>
      <c r="J339" s="696">
        <f>J8+J13+J18+J23+J28+J175+J193+J214+J233+J284+J301</f>
        <v>5.67E-2</v>
      </c>
      <c r="K339" s="696">
        <f>K8+K13+K18+K23+K28+K175+K193+K214+K233+K284+K301</f>
        <v>0.33650000000000002</v>
      </c>
      <c r="L339" s="696">
        <f>L8+L13+L18+L23+L28+L164+L175+L193+L214+L233+L284+L298</f>
        <v>0.15</v>
      </c>
      <c r="M339" s="696">
        <f>M8+M13+M18+M23+M28+M164+M175+M193+M214+M233+M284+M298</f>
        <v>0.39710000000000001</v>
      </c>
      <c r="N339" s="696">
        <f>N8+N13+N18+N23+N28+N164+N175+N193+N214+N233+N284+N298</f>
        <v>0.15</v>
      </c>
      <c r="O339" s="696">
        <f>O8+O13+O18+O23+O28+O164+O175+O193+O214+O233+O284+O298</f>
        <v>0.28975999999999996</v>
      </c>
    </row>
    <row r="340" spans="4:15" ht="30" customHeight="1" x14ac:dyDescent="0.25">
      <c r="D340" s="697" t="s">
        <v>56</v>
      </c>
      <c r="E340" s="698" t="s">
        <v>57</v>
      </c>
      <c r="F340" s="696">
        <f t="shared" ref="F340:K340" si="31">F7+F12+F17+F22+F27+F98+F124+F128+F174+F177+F209+F213+F216+F239+F240+F277+F297</f>
        <v>0.55499999999999994</v>
      </c>
      <c r="G340" s="696">
        <f t="shared" si="31"/>
        <v>3.2995000000000001</v>
      </c>
      <c r="H340" s="696">
        <f t="shared" si="31"/>
        <v>0.55499999999999994</v>
      </c>
      <c r="I340" s="696">
        <f t="shared" si="31"/>
        <v>3.2995000000000001</v>
      </c>
      <c r="J340" s="696">
        <f t="shared" si="31"/>
        <v>0.55499999999999994</v>
      </c>
      <c r="K340" s="696">
        <f t="shared" si="31"/>
        <v>3.2995000000000001</v>
      </c>
      <c r="L340" s="696">
        <f>L7+L12+L17+L22+L27+L98+L124+L128+L163+L174+L177+L209+L213+L216+L239+L240+L277+L299</f>
        <v>1.3540111999999997</v>
      </c>
      <c r="M340" s="696">
        <f>M7+M12+M17+M22+M27+M98+M124+M128+M163+M174+M177+M209+M213+M216+M239+M240+M277+M299</f>
        <v>3.49194</v>
      </c>
      <c r="N340" s="696">
        <f>N7+N12+N17+N22+N27+N98+N124+N128+N163+N174+N177+N209+N213+N216+N239+N240+N277+N299</f>
        <v>1.3540111999999997</v>
      </c>
      <c r="O340" s="696">
        <f>O7+O12+O17+O22+O27+O98+O124+O128+O163+O174+O177+O209+O213+O216+O239+O240+O277+O299</f>
        <v>1.2369700000000001</v>
      </c>
    </row>
    <row r="341" spans="4:15" ht="30" customHeight="1" x14ac:dyDescent="0.25">
      <c r="D341" s="662" t="s">
        <v>104</v>
      </c>
      <c r="E341" s="699" t="s">
        <v>105</v>
      </c>
      <c r="F341" s="696">
        <f t="shared" ref="F341:O341" si="32">F31+F33+F303</f>
        <v>3.1599999999999998E-4</v>
      </c>
      <c r="G341" s="696">
        <f t="shared" si="32"/>
        <v>2.6400000000000002E-4</v>
      </c>
      <c r="H341" s="696">
        <f t="shared" si="32"/>
        <v>3.1599999999999998E-4</v>
      </c>
      <c r="I341" s="696">
        <f t="shared" si="32"/>
        <v>2.6400000000000002E-4</v>
      </c>
      <c r="J341" s="696">
        <f t="shared" si="32"/>
        <v>3.1599999999999998E-4</v>
      </c>
      <c r="K341" s="696">
        <f t="shared" si="32"/>
        <v>2.6400000000000002E-4</v>
      </c>
      <c r="L341" s="696">
        <f t="shared" si="32"/>
        <v>3.1599999999999998E-4</v>
      </c>
      <c r="M341" s="696">
        <f t="shared" si="32"/>
        <v>2.6400000000000002E-4</v>
      </c>
      <c r="N341" s="696">
        <f t="shared" si="32"/>
        <v>3.1599999999999998E-4</v>
      </c>
      <c r="O341" s="696">
        <f t="shared" si="32"/>
        <v>8.5000000000000006E-5</v>
      </c>
    </row>
    <row r="342" spans="4:15" ht="30" customHeight="1" x14ac:dyDescent="0.25">
      <c r="D342" s="662" t="s">
        <v>775</v>
      </c>
      <c r="E342" s="663" t="s">
        <v>66</v>
      </c>
      <c r="F342" s="696">
        <f>F9+F14+F19+F24+F29+F37+F49+F69+F81+F92+F104+F106+F108+F114+F131+F136+F191+F194+F205+F253+F275+F283+F296</f>
        <v>7.8666999999999998</v>
      </c>
      <c r="G342" s="696">
        <f>G9+G14+G19+G24+G29+G37+G49+G69+G81+G92+G104+G106+G108+G114+G131+G136+G191+G194+G205+G253+G275+G283+G296</f>
        <v>46.781499999999994</v>
      </c>
      <c r="H342" s="696">
        <f>H9+H14+H19+H24+H29+H37+H49+H69+H81+H92+H104+H106+H108+H114+H131+H136+H191+H194+H205+H253+H275+H283+H294+H296</f>
        <v>7.8962500000000002</v>
      </c>
      <c r="I342" s="696">
        <f>I9+I14+I19+I24+I29+I37+I49+I69+I81+I92+I104+I106+I108+I114+I131+I136+I191+I194+I205+I253+I275+I283+I296</f>
        <v>46.866929999999996</v>
      </c>
      <c r="J342" s="696">
        <f>J9+J14+J19+J24+J29+J37+J49+J69+J81+J92+J104+J106+J108+J114+J131+J136+J191+J194+J205+J253+J275+J283+J296</f>
        <v>7.8962500000000002</v>
      </c>
      <c r="K342" s="696">
        <f>K9+K14+K19+K24+K29+K37+K49+K69+K81+K92+K104+K106+K108+K114+K131+K136+K191+K194+K205+K253+K275+K283+K296</f>
        <v>46.866929999999996</v>
      </c>
      <c r="L342" s="696">
        <f>L9+L14+L19+L24+L29+L37+L49+L69+L81+L92+L104+L106+L108+L114+L131+L136+L165+L191+L194+L205+L253+L275+L283+L294</f>
        <v>18.863970000000002</v>
      </c>
      <c r="M342" s="696">
        <f>M9+M14+M19+M24+M29+M37+M49+M69+M81+M92+M104+M106+M108+M114+M131+M136+M165+M191+M194+M205+M253+M275+M283+M294</f>
        <v>47.48795999999998</v>
      </c>
      <c r="N342" s="696">
        <f>N9+N14+N19+N24+N29+N37+N49+N69+N81+N92+N104+N106+N108+N114+N131+N136+N165+N191+N194+N205+N253+N275+N283+N294</f>
        <v>18.863970000000002</v>
      </c>
      <c r="O342" s="696">
        <f>O9+O14+O19+O24+O29+O37+O49+O69+O81+O92+O104+O106+O108+O114+O131+O136+O165+O191+O194+O205+O253+O275+O283+O294</f>
        <v>9.1917399999999994</v>
      </c>
    </row>
    <row r="343" spans="4:15" ht="30" customHeight="1" x14ac:dyDescent="0.25">
      <c r="D343" s="662" t="s">
        <v>141</v>
      </c>
      <c r="E343" s="663" t="s">
        <v>142</v>
      </c>
      <c r="F343" s="696">
        <f t="shared" ref="F343:O343" si="33">F40+F52+F66+F79</f>
        <v>0</v>
      </c>
      <c r="G343" s="696">
        <f t="shared" si="33"/>
        <v>0</v>
      </c>
      <c r="H343" s="696">
        <f t="shared" si="33"/>
        <v>1.2999999999999997E-3</v>
      </c>
      <c r="I343" s="696">
        <f t="shared" si="33"/>
        <v>3.9399999999999999E-3</v>
      </c>
      <c r="J343" s="696">
        <f t="shared" si="33"/>
        <v>1.2999999999999997E-3</v>
      </c>
      <c r="K343" s="696">
        <f t="shared" si="33"/>
        <v>3.9399999999999999E-3</v>
      </c>
      <c r="L343" s="696">
        <f t="shared" si="33"/>
        <v>1.2999999999999997E-3</v>
      </c>
      <c r="M343" s="696">
        <f t="shared" si="33"/>
        <v>3.9399999999999999E-3</v>
      </c>
      <c r="N343" s="696">
        <f t="shared" si="33"/>
        <v>1.2999999999999997E-3</v>
      </c>
      <c r="O343" s="696">
        <f t="shared" si="33"/>
        <v>3.9399999999999999E-3</v>
      </c>
    </row>
    <row r="344" spans="4:15" ht="30" customHeight="1" x14ac:dyDescent="0.25">
      <c r="D344" s="662" t="s">
        <v>138</v>
      </c>
      <c r="E344" s="663" t="s">
        <v>139</v>
      </c>
      <c r="F344" s="696">
        <f t="shared" ref="F344:O344" si="34">F38+F50+F78</f>
        <v>0</v>
      </c>
      <c r="G344" s="696">
        <f t="shared" si="34"/>
        <v>0</v>
      </c>
      <c r="H344" s="696">
        <f t="shared" si="34"/>
        <v>2.4000000000000001E-4</v>
      </c>
      <c r="I344" s="696">
        <f t="shared" si="34"/>
        <v>6.600000000000001E-4</v>
      </c>
      <c r="J344" s="696">
        <f t="shared" si="34"/>
        <v>2.4000000000000001E-4</v>
      </c>
      <c r="K344" s="696">
        <f t="shared" si="34"/>
        <v>6.600000000000001E-4</v>
      </c>
      <c r="L344" s="696">
        <f t="shared" si="34"/>
        <v>2.4000000000000001E-4</v>
      </c>
      <c r="M344" s="696">
        <f t="shared" si="34"/>
        <v>6.600000000000001E-4</v>
      </c>
      <c r="N344" s="696">
        <f t="shared" si="34"/>
        <v>2.4000000000000001E-4</v>
      </c>
      <c r="O344" s="696">
        <f t="shared" si="34"/>
        <v>6.600000000000001E-4</v>
      </c>
    </row>
    <row r="345" spans="4:15" ht="30" customHeight="1" x14ac:dyDescent="0.25">
      <c r="D345" s="662" t="s">
        <v>429</v>
      </c>
      <c r="E345" s="663" t="s">
        <v>430</v>
      </c>
      <c r="F345" s="696">
        <f t="shared" ref="F345:O345" si="35">F103+F119+F141</f>
        <v>0</v>
      </c>
      <c r="G345" s="696">
        <f t="shared" si="35"/>
        <v>0</v>
      </c>
      <c r="H345" s="696">
        <f t="shared" si="35"/>
        <v>0</v>
      </c>
      <c r="I345" s="696">
        <f t="shared" si="35"/>
        <v>0</v>
      </c>
      <c r="J345" s="696">
        <f t="shared" si="35"/>
        <v>0</v>
      </c>
      <c r="K345" s="696">
        <f t="shared" si="35"/>
        <v>0</v>
      </c>
      <c r="L345" s="696">
        <f t="shared" si="35"/>
        <v>8.9999999999999992E-5</v>
      </c>
      <c r="M345" s="696">
        <f t="shared" si="35"/>
        <v>7.7999999999999999E-4</v>
      </c>
      <c r="N345" s="696">
        <f t="shared" si="35"/>
        <v>8.9999999999999992E-5</v>
      </c>
      <c r="O345" s="696">
        <f t="shared" si="35"/>
        <v>2.82E-3</v>
      </c>
    </row>
    <row r="346" spans="4:15" ht="30" customHeight="1" x14ac:dyDescent="0.25">
      <c r="D346" s="640" t="s">
        <v>1474</v>
      </c>
      <c r="E346" s="660" t="s">
        <v>1475</v>
      </c>
      <c r="F346" s="696">
        <f t="shared" ref="F346:O346" si="36">F301</f>
        <v>0</v>
      </c>
      <c r="G346" s="696">
        <f t="shared" si="36"/>
        <v>0</v>
      </c>
      <c r="H346" s="696">
        <f t="shared" si="36"/>
        <v>0</v>
      </c>
      <c r="I346" s="696">
        <f t="shared" si="36"/>
        <v>0</v>
      </c>
      <c r="J346" s="696">
        <f t="shared" si="36"/>
        <v>0</v>
      </c>
      <c r="K346" s="696">
        <f t="shared" si="36"/>
        <v>0</v>
      </c>
      <c r="L346" s="696">
        <f t="shared" si="36"/>
        <v>9.9999999999999995E-8</v>
      </c>
      <c r="M346" s="696">
        <f t="shared" si="36"/>
        <v>1.0000000000000001E-9</v>
      </c>
      <c r="N346" s="696">
        <f t="shared" si="36"/>
        <v>9.9999999999999995E-8</v>
      </c>
      <c r="O346" s="696">
        <f t="shared" si="36"/>
        <v>3E-9</v>
      </c>
    </row>
    <row r="347" spans="4:15" ht="30" customHeight="1" x14ac:dyDescent="0.25">
      <c r="D347" s="662" t="s">
        <v>1159</v>
      </c>
      <c r="E347" s="663" t="s">
        <v>243</v>
      </c>
      <c r="F347" s="696">
        <f t="shared" ref="F347:O347" si="37">F56+F87</f>
        <v>0</v>
      </c>
      <c r="G347" s="696">
        <f t="shared" si="37"/>
        <v>0</v>
      </c>
      <c r="H347" s="696">
        <f t="shared" si="37"/>
        <v>3.3300000000000005E-3</v>
      </c>
      <c r="I347" s="696">
        <f t="shared" si="37"/>
        <v>1.014E-2</v>
      </c>
      <c r="J347" s="696">
        <f t="shared" si="37"/>
        <v>3.3300000000000005E-3</v>
      </c>
      <c r="K347" s="696">
        <f t="shared" si="37"/>
        <v>1.014E-2</v>
      </c>
      <c r="L347" s="696">
        <f t="shared" si="37"/>
        <v>3.3300000000000005E-3</v>
      </c>
      <c r="M347" s="696">
        <f t="shared" si="37"/>
        <v>1.014E-2</v>
      </c>
      <c r="N347" s="696">
        <f t="shared" si="37"/>
        <v>3.3300000000000005E-3</v>
      </c>
      <c r="O347" s="696">
        <f t="shared" si="37"/>
        <v>1.014E-2</v>
      </c>
    </row>
    <row r="348" spans="4:15" ht="30" customHeight="1" x14ac:dyDescent="0.25">
      <c r="D348" s="662" t="s">
        <v>778</v>
      </c>
      <c r="E348" s="663" t="s">
        <v>779</v>
      </c>
      <c r="F348" s="696">
        <f t="shared" ref="F348:O348" si="38">F300</f>
        <v>0</v>
      </c>
      <c r="G348" s="696">
        <f t="shared" si="38"/>
        <v>0</v>
      </c>
      <c r="H348" s="696">
        <f t="shared" si="38"/>
        <v>0</v>
      </c>
      <c r="I348" s="696">
        <f t="shared" si="38"/>
        <v>0</v>
      </c>
      <c r="J348" s="696">
        <f t="shared" si="38"/>
        <v>0</v>
      </c>
      <c r="K348" s="696">
        <f t="shared" si="38"/>
        <v>0</v>
      </c>
      <c r="L348" s="696">
        <f t="shared" si="38"/>
        <v>1.6999999999999999E-3</v>
      </c>
      <c r="M348" s="696">
        <f t="shared" si="38"/>
        <v>1.0000000000000001E-5</v>
      </c>
      <c r="N348" s="696">
        <f t="shared" si="38"/>
        <v>1.6999999999999999E-3</v>
      </c>
      <c r="O348" s="696">
        <f t="shared" si="38"/>
        <v>4.0000000000000003E-5</v>
      </c>
    </row>
    <row r="349" spans="4:15" ht="30" customHeight="1" x14ac:dyDescent="0.25">
      <c r="D349" s="662" t="s">
        <v>590</v>
      </c>
      <c r="E349" s="663" t="s">
        <v>591</v>
      </c>
      <c r="F349" s="663">
        <f t="shared" ref="F349:O349" si="39">F189+F200+F244+F273</f>
        <v>0</v>
      </c>
      <c r="G349" s="663">
        <f t="shared" si="39"/>
        <v>0</v>
      </c>
      <c r="H349" s="663">
        <f t="shared" si="39"/>
        <v>0</v>
      </c>
      <c r="I349" s="663">
        <f t="shared" si="39"/>
        <v>0</v>
      </c>
      <c r="J349" s="663">
        <f t="shared" si="39"/>
        <v>0</v>
      </c>
      <c r="K349" s="663">
        <f t="shared" si="39"/>
        <v>0</v>
      </c>
      <c r="L349" s="663">
        <f t="shared" si="39"/>
        <v>4.8399999999999997E-3</v>
      </c>
      <c r="M349" s="663">
        <f t="shared" si="39"/>
        <v>3.8159999999999999E-2</v>
      </c>
      <c r="N349" s="663">
        <f t="shared" si="39"/>
        <v>4.8399999999999997E-3</v>
      </c>
      <c r="O349" s="663">
        <f t="shared" si="39"/>
        <v>0.15262999999999999</v>
      </c>
    </row>
    <row r="350" spans="4:15" ht="30" customHeight="1" x14ac:dyDescent="0.25">
      <c r="D350" s="662" t="s">
        <v>345</v>
      </c>
      <c r="E350" s="663" t="s">
        <v>1261</v>
      </c>
      <c r="F350" s="696">
        <f t="shared" ref="F350:O350" si="40">F86</f>
        <v>0</v>
      </c>
      <c r="G350" s="696">
        <f t="shared" si="40"/>
        <v>0</v>
      </c>
      <c r="H350" s="696">
        <f t="shared" si="40"/>
        <v>3.0000000000000001E-5</v>
      </c>
      <c r="I350" s="696">
        <f t="shared" si="40"/>
        <v>6.0000000000000002E-5</v>
      </c>
      <c r="J350" s="696">
        <f t="shared" si="40"/>
        <v>3.0000000000000001E-5</v>
      </c>
      <c r="K350" s="696">
        <f t="shared" si="40"/>
        <v>6.0000000000000002E-5</v>
      </c>
      <c r="L350" s="696">
        <f t="shared" si="40"/>
        <v>3.0000000000000001E-5</v>
      </c>
      <c r="M350" s="696">
        <f t="shared" si="40"/>
        <v>6.0000000000000002E-5</v>
      </c>
      <c r="N350" s="696">
        <f t="shared" si="40"/>
        <v>3.0000000000000001E-5</v>
      </c>
      <c r="O350" s="696">
        <f t="shared" si="40"/>
        <v>6.0000000000000002E-5</v>
      </c>
    </row>
    <row r="351" spans="4:15" ht="30" customHeight="1" x14ac:dyDescent="0.25">
      <c r="D351" s="662" t="s">
        <v>1160</v>
      </c>
      <c r="E351" s="699">
        <v>2754</v>
      </c>
      <c r="F351" s="696">
        <f t="shared" ref="F351:K351" si="41">F30+F32+F298+F302</f>
        <v>0.11347000000000002</v>
      </c>
      <c r="G351" s="696">
        <f t="shared" si="41"/>
        <v>9.0502000000000013E-2</v>
      </c>
      <c r="H351" s="696">
        <f t="shared" si="41"/>
        <v>0.11347000000000002</v>
      </c>
      <c r="I351" s="696">
        <f t="shared" si="41"/>
        <v>9.0502000000000013E-2</v>
      </c>
      <c r="J351" s="696">
        <f t="shared" si="41"/>
        <v>0.11347000000000002</v>
      </c>
      <c r="K351" s="696">
        <f t="shared" si="41"/>
        <v>9.0502000000000013E-2</v>
      </c>
      <c r="L351" s="696">
        <f>L30+L32+L297+L302</f>
        <v>0.15347</v>
      </c>
      <c r="M351" s="696">
        <f>M30+M32+M297+M302</f>
        <v>9.0702000000000005E-2</v>
      </c>
      <c r="N351" s="696">
        <f>N30+N32+N297+N302</f>
        <v>0.15347</v>
      </c>
      <c r="O351" s="696">
        <f>O30+O32+O297+O302</f>
        <v>3.3532000000000006E-2</v>
      </c>
    </row>
    <row r="352" spans="4:15" ht="30" customHeight="1" x14ac:dyDescent="0.25">
      <c r="D352" s="662" t="s">
        <v>1258</v>
      </c>
      <c r="E352" s="699">
        <v>2844</v>
      </c>
      <c r="F352" s="696">
        <f t="shared" ref="F352:O352" si="42">F58+F88</f>
        <v>0</v>
      </c>
      <c r="G352" s="696">
        <f t="shared" si="42"/>
        <v>0</v>
      </c>
      <c r="H352" s="696">
        <f t="shared" si="42"/>
        <v>2.1449999999999998E-3</v>
      </c>
      <c r="I352" s="696">
        <f t="shared" si="42"/>
        <v>6.5400000000000007E-3</v>
      </c>
      <c r="J352" s="696">
        <f t="shared" si="42"/>
        <v>2.1449999999999998E-3</v>
      </c>
      <c r="K352" s="696">
        <f t="shared" si="42"/>
        <v>6.5400000000000007E-3</v>
      </c>
      <c r="L352" s="696">
        <f t="shared" si="42"/>
        <v>2.1449999999999998E-3</v>
      </c>
      <c r="M352" s="696">
        <f t="shared" si="42"/>
        <v>6.5400000000000007E-3</v>
      </c>
      <c r="N352" s="696">
        <f t="shared" si="42"/>
        <v>2.1449999999999998E-3</v>
      </c>
      <c r="O352" s="696">
        <f t="shared" si="42"/>
        <v>6.5400000000000007E-3</v>
      </c>
    </row>
    <row r="353" spans="2:15" ht="30" customHeight="1" x14ac:dyDescent="0.25">
      <c r="D353" s="662" t="s">
        <v>1254</v>
      </c>
      <c r="E353" s="699">
        <v>2902</v>
      </c>
      <c r="F353" s="696">
        <f t="shared" ref="F353:O353" si="43">F42+F54+F72+F83</f>
        <v>0</v>
      </c>
      <c r="G353" s="696">
        <f t="shared" si="43"/>
        <v>0</v>
      </c>
      <c r="H353" s="696">
        <f t="shared" si="43"/>
        <v>2.6459999999999997E-2</v>
      </c>
      <c r="I353" s="696">
        <f t="shared" si="43"/>
        <v>2.9869999999999997E-2</v>
      </c>
      <c r="J353" s="696">
        <f t="shared" si="43"/>
        <v>2.6459999999999997E-2</v>
      </c>
      <c r="K353" s="696">
        <f t="shared" si="43"/>
        <v>2.9869999999999997E-2</v>
      </c>
      <c r="L353" s="696">
        <f t="shared" si="43"/>
        <v>2.6459999999999997E-2</v>
      </c>
      <c r="M353" s="696">
        <f t="shared" si="43"/>
        <v>2.9869999999999997E-2</v>
      </c>
      <c r="N353" s="696">
        <f t="shared" si="43"/>
        <v>2.6459999999999997E-2</v>
      </c>
      <c r="O353" s="696">
        <f t="shared" si="43"/>
        <v>2.9869999999999997E-2</v>
      </c>
    </row>
    <row r="354" spans="2:15" ht="30" customHeight="1" x14ac:dyDescent="0.25">
      <c r="D354" s="662" t="s">
        <v>1256</v>
      </c>
      <c r="E354" s="699" t="s">
        <v>415</v>
      </c>
      <c r="F354" s="663">
        <f>F44+F96</f>
        <v>0</v>
      </c>
      <c r="G354" s="663">
        <f>G44+G96</f>
        <v>0</v>
      </c>
      <c r="H354" s="663">
        <f t="shared" ref="H354:O354" si="44">H44+H96+H185+H224+H228+H256+H258</f>
        <v>1.3999999999999999E-4</v>
      </c>
      <c r="I354" s="663">
        <f t="shared" si="44"/>
        <v>2.5000000000000001E-4</v>
      </c>
      <c r="J354" s="663">
        <f t="shared" si="44"/>
        <v>1.3999999999999999E-4</v>
      </c>
      <c r="K354" s="663">
        <f t="shared" si="44"/>
        <v>2.5000000000000001E-4</v>
      </c>
      <c r="L354" s="663">
        <f t="shared" si="44"/>
        <v>4.1099999999999991E-3</v>
      </c>
      <c r="M354" s="663">
        <f t="shared" si="44"/>
        <v>2.9659999999999999E-2</v>
      </c>
      <c r="N354" s="663">
        <f t="shared" si="44"/>
        <v>4.1099999999999991E-3</v>
      </c>
      <c r="O354" s="663">
        <f t="shared" si="44"/>
        <v>0.11811999999999999</v>
      </c>
    </row>
    <row r="355" spans="2:15" ht="30" customHeight="1" x14ac:dyDescent="0.25">
      <c r="D355" s="662" t="s">
        <v>1161</v>
      </c>
      <c r="E355" s="699" t="s">
        <v>140</v>
      </c>
      <c r="F355" s="663">
        <f>F39+F51+F77+F160+F185+F195+F207+F210+F224+F228+F254+F256+F258+F279+F307</f>
        <v>0</v>
      </c>
      <c r="G355" s="663">
        <f>G39+G51+G77+G160+G185+G195+G207+G210+G224+G228+G254+G256+G258+G279+G307</f>
        <v>0</v>
      </c>
      <c r="H355" s="663">
        <f t="shared" ref="H355:O355" si="45">H39+H51+H77+H160+H195+H207+H210+H254+H279+H307</f>
        <v>1.2400000000000001E-4</v>
      </c>
      <c r="I355" s="663">
        <f t="shared" si="45"/>
        <v>3.1900000000000011E-4</v>
      </c>
      <c r="J355" s="663">
        <f t="shared" si="45"/>
        <v>1.2400000000000001E-4</v>
      </c>
      <c r="K355" s="663">
        <f t="shared" si="45"/>
        <v>3.1900000000000011E-4</v>
      </c>
      <c r="L355" s="663">
        <f t="shared" si="45"/>
        <v>4.7933999999999997E-2</v>
      </c>
      <c r="M355" s="663">
        <f t="shared" si="45"/>
        <v>0.37724900000000006</v>
      </c>
      <c r="N355" s="663">
        <f t="shared" si="45"/>
        <v>8.9534000000000002E-2</v>
      </c>
      <c r="O355" s="663">
        <f t="shared" si="45"/>
        <v>1.838749</v>
      </c>
    </row>
    <row r="356" spans="2:15" ht="30" customHeight="1" x14ac:dyDescent="0.25">
      <c r="D356" s="662" t="s">
        <v>146</v>
      </c>
      <c r="E356" s="699" t="s">
        <v>1255</v>
      </c>
      <c r="F356" s="663">
        <f t="shared" ref="F356:O356" si="46">F41+F53+F71+F82</f>
        <v>0</v>
      </c>
      <c r="G356" s="663">
        <f t="shared" si="46"/>
        <v>0</v>
      </c>
      <c r="H356" s="663">
        <f t="shared" si="46"/>
        <v>1.431E-2</v>
      </c>
      <c r="I356" s="663">
        <f t="shared" si="46"/>
        <v>1.6639999999999999E-2</v>
      </c>
      <c r="J356" s="663">
        <f t="shared" si="46"/>
        <v>1.431E-2</v>
      </c>
      <c r="K356" s="663">
        <f t="shared" si="46"/>
        <v>1.6639999999999999E-2</v>
      </c>
      <c r="L356" s="663">
        <f t="shared" si="46"/>
        <v>1.431E-2</v>
      </c>
      <c r="M356" s="663">
        <f t="shared" si="46"/>
        <v>1.6639999999999999E-2</v>
      </c>
      <c r="N356" s="663">
        <f t="shared" si="46"/>
        <v>1.431E-2</v>
      </c>
      <c r="O356" s="663">
        <f t="shared" si="46"/>
        <v>1.6639999999999999E-2</v>
      </c>
    </row>
    <row r="357" spans="2:15" ht="30" customHeight="1" x14ac:dyDescent="0.25">
      <c r="D357" s="700" t="s">
        <v>1263</v>
      </c>
      <c r="E357" s="699" t="s">
        <v>441</v>
      </c>
      <c r="F357" s="663">
        <f t="shared" ref="F357:O357" si="47">F180+F285+F219+F263+F265+F293+F304+F305+F306</f>
        <v>0</v>
      </c>
      <c r="G357" s="663">
        <f t="shared" si="47"/>
        <v>0</v>
      </c>
      <c r="H357" s="663">
        <f t="shared" si="47"/>
        <v>0</v>
      </c>
      <c r="I357" s="663">
        <f t="shared" si="47"/>
        <v>0</v>
      </c>
      <c r="J357" s="663">
        <f t="shared" si="47"/>
        <v>0</v>
      </c>
      <c r="K357" s="663">
        <f t="shared" si="47"/>
        <v>0</v>
      </c>
      <c r="L357" s="663">
        <f t="shared" si="47"/>
        <v>1.8293400000000002</v>
      </c>
      <c r="M357" s="663">
        <f t="shared" si="47"/>
        <v>12.386619999999999</v>
      </c>
      <c r="N357" s="663">
        <f t="shared" si="47"/>
        <v>2.0577399999999999</v>
      </c>
      <c r="O357" s="663">
        <f t="shared" si="47"/>
        <v>16.034289999999999</v>
      </c>
    </row>
    <row r="358" spans="2:15" ht="30" customHeight="1" x14ac:dyDescent="0.25">
      <c r="D358" s="700" t="s">
        <v>689</v>
      </c>
      <c r="E358" s="699" t="s">
        <v>690</v>
      </c>
      <c r="F358" s="663">
        <f t="shared" ref="F358:O358" si="48">F204+F272</f>
        <v>0</v>
      </c>
      <c r="G358" s="663">
        <f t="shared" si="48"/>
        <v>0</v>
      </c>
      <c r="H358" s="663">
        <f t="shared" si="48"/>
        <v>0</v>
      </c>
      <c r="I358" s="663">
        <f t="shared" si="48"/>
        <v>0</v>
      </c>
      <c r="J358" s="663">
        <f t="shared" si="48"/>
        <v>0</v>
      </c>
      <c r="K358" s="663">
        <f t="shared" si="48"/>
        <v>0</v>
      </c>
      <c r="L358" s="663">
        <f t="shared" si="48"/>
        <v>3.1000000000000003E-3</v>
      </c>
      <c r="M358" s="663">
        <f t="shared" si="48"/>
        <v>2.444E-2</v>
      </c>
      <c r="N358" s="663">
        <f t="shared" si="48"/>
        <v>3.1000000000000003E-3</v>
      </c>
      <c r="O358" s="663">
        <f t="shared" si="48"/>
        <v>9.776E-2</v>
      </c>
    </row>
    <row r="359" spans="2:15" ht="20.100000000000001" customHeight="1" x14ac:dyDescent="0.25">
      <c r="D359" s="1008" t="s">
        <v>1162</v>
      </c>
      <c r="E359" s="1009"/>
      <c r="F359" s="694">
        <f t="shared" ref="F359:O359" si="49">SUM(F318:F358)</f>
        <v>10.827885999999999</v>
      </c>
      <c r="G359" s="694">
        <f t="shared" si="49"/>
        <v>63.626965999999996</v>
      </c>
      <c r="H359" s="694">
        <f t="shared" si="49"/>
        <v>10.960127014000001</v>
      </c>
      <c r="I359" s="694">
        <f t="shared" si="49"/>
        <v>63.905937046000005</v>
      </c>
      <c r="J359" s="694">
        <f t="shared" si="49"/>
        <v>10.960127014000001</v>
      </c>
      <c r="K359" s="694">
        <f t="shared" si="49"/>
        <v>63.905937046000005</v>
      </c>
      <c r="L359" s="694">
        <f t="shared" si="49"/>
        <v>28.223918084000001</v>
      </c>
      <c r="M359" s="694">
        <f t="shared" si="49"/>
        <v>79.847528047000011</v>
      </c>
      <c r="N359" s="694">
        <f t="shared" si="49"/>
        <v>28.493918083999997</v>
      </c>
      <c r="O359" s="694">
        <f t="shared" si="49"/>
        <v>39.586342049000002</v>
      </c>
    </row>
    <row r="360" spans="2:15" x14ac:dyDescent="0.25">
      <c r="L360" s="531"/>
      <c r="M360" s="531"/>
    </row>
    <row r="363" spans="2:15" x14ac:dyDescent="0.25">
      <c r="L363" s="531"/>
      <c r="M363" s="531"/>
    </row>
    <row r="364" spans="2:15" s="522" customFormat="1" ht="28.5" customHeight="1" x14ac:dyDescent="0.25">
      <c r="B364" s="521"/>
      <c r="C364" s="538"/>
      <c r="D364" s="1006" t="s">
        <v>1284</v>
      </c>
      <c r="E364" s="1006"/>
      <c r="F364" s="1006"/>
      <c r="G364" s="1006"/>
      <c r="H364" s="1006"/>
      <c r="I364" s="1006"/>
      <c r="J364" s="1006"/>
      <c r="K364" s="1006"/>
      <c r="L364" s="1006"/>
      <c r="M364" s="1006"/>
      <c r="N364" s="616"/>
      <c r="O364" s="616"/>
    </row>
    <row r="365" spans="2:15" s="522" customFormat="1" ht="19.5" customHeight="1" x14ac:dyDescent="0.25">
      <c r="B365" s="518"/>
      <c r="C365" s="520"/>
      <c r="D365" s="521"/>
      <c r="E365" s="617"/>
      <c r="F365" s="1007" t="s">
        <v>987</v>
      </c>
      <c r="G365" s="1007"/>
      <c r="H365" s="1007" t="s">
        <v>1151</v>
      </c>
      <c r="I365" s="1007"/>
      <c r="J365" s="1007" t="s">
        <v>1152</v>
      </c>
      <c r="K365" s="1007"/>
      <c r="L365" s="1007" t="s">
        <v>1153</v>
      </c>
      <c r="M365" s="1007"/>
      <c r="N365" s="1007" t="s">
        <v>1244</v>
      </c>
      <c r="O365" s="1007"/>
    </row>
    <row r="366" spans="2:15" s="519" customFormat="1" ht="21.75" customHeight="1" x14ac:dyDescent="0.25">
      <c r="B366" s="518"/>
      <c r="C366" s="523" t="s">
        <v>159</v>
      </c>
      <c r="D366" s="618" t="s">
        <v>1154</v>
      </c>
      <c r="E366" s="694" t="s">
        <v>1155</v>
      </c>
      <c r="F366" s="694" t="s">
        <v>18</v>
      </c>
      <c r="G366" s="694" t="s">
        <v>19</v>
      </c>
      <c r="H366" s="694" t="s">
        <v>18</v>
      </c>
      <c r="I366" s="694" t="s">
        <v>18</v>
      </c>
      <c r="J366" s="694" t="s">
        <v>18</v>
      </c>
      <c r="K366" s="694" t="s">
        <v>18</v>
      </c>
      <c r="L366" s="694" t="s">
        <v>18</v>
      </c>
      <c r="M366" s="694" t="s">
        <v>19</v>
      </c>
      <c r="N366" s="694" t="s">
        <v>18</v>
      </c>
      <c r="O366" s="694" t="s">
        <v>19</v>
      </c>
    </row>
    <row r="367" spans="2:15" ht="16.5" customHeight="1" x14ac:dyDescent="0.25">
      <c r="B367" s="998" t="s">
        <v>1202</v>
      </c>
      <c r="C367" s="525" t="s">
        <v>1201</v>
      </c>
      <c r="D367" s="626" t="str">
        <f>'20 въезд-выезд авто'!AE44</f>
        <v>Азота диоксид</v>
      </c>
      <c r="E367" s="701" t="str">
        <f>'20 въезд-выезд авто'!AF44</f>
        <v>0301</v>
      </c>
      <c r="F367" s="631"/>
      <c r="G367" s="631"/>
      <c r="H367" s="631">
        <f>'20 въезд-выезд авто'!AG44</f>
        <v>2.8E-3</v>
      </c>
      <c r="I367" s="631">
        <f>'20 въезд-выезд авто'!AH44</f>
        <v>1E-3</v>
      </c>
      <c r="J367" s="631">
        <f>'20 въезд-выезд авто'!AG44</f>
        <v>2.8E-3</v>
      </c>
      <c r="K367" s="631">
        <f>'20 въезд-выезд авто'!AH44</f>
        <v>1E-3</v>
      </c>
      <c r="L367" s="631">
        <f>'20 въезд-выезд авто'!AG44</f>
        <v>2.8E-3</v>
      </c>
      <c r="M367" s="631">
        <f>'20 въезд-выезд авто'!AH44</f>
        <v>1E-3</v>
      </c>
      <c r="N367" s="631">
        <f>'20 въезд-выезд авто'!AG44</f>
        <v>2.8E-3</v>
      </c>
      <c r="O367" s="631">
        <f>'20 въезд-выезд авто'!AH44</f>
        <v>1E-3</v>
      </c>
    </row>
    <row r="368" spans="2:15" x14ac:dyDescent="0.25">
      <c r="B368" s="999"/>
      <c r="C368" s="528" t="s">
        <v>214</v>
      </c>
      <c r="D368" s="633" t="str">
        <f>'20 въезд-выезд авто'!AE45</f>
        <v>Азота оксид</v>
      </c>
      <c r="E368" s="702" t="str">
        <f>'20 въезд-выезд авто'!AF45</f>
        <v>0304</v>
      </c>
      <c r="F368" s="638"/>
      <c r="G368" s="638"/>
      <c r="H368" s="638">
        <f>'20 въезд-выезд авто'!AG45</f>
        <v>5.0000000000000001E-4</v>
      </c>
      <c r="I368" s="638">
        <f>'20 въезд-выезд авто'!AH45</f>
        <v>2.0000000000000001E-4</v>
      </c>
      <c r="J368" s="638">
        <f>'20 въезд-выезд авто'!AG45</f>
        <v>5.0000000000000001E-4</v>
      </c>
      <c r="K368" s="638">
        <f>'20 въезд-выезд авто'!AH45</f>
        <v>2.0000000000000001E-4</v>
      </c>
      <c r="L368" s="638">
        <f>'20 въезд-выезд авто'!AG45</f>
        <v>5.0000000000000001E-4</v>
      </c>
      <c r="M368" s="638">
        <f>'20 въезд-выезд авто'!AH45</f>
        <v>2.0000000000000001E-4</v>
      </c>
      <c r="N368" s="638">
        <f>'20 въезд-выезд авто'!AG45</f>
        <v>5.0000000000000001E-4</v>
      </c>
      <c r="O368" s="638">
        <f>'20 въезд-выезд авто'!AH45</f>
        <v>2.0000000000000001E-4</v>
      </c>
    </row>
    <row r="369" spans="2:15" x14ac:dyDescent="0.25">
      <c r="B369" s="999"/>
      <c r="C369" s="528"/>
      <c r="D369" s="633" t="str">
        <f>'20 въезд-выезд авто'!AE46</f>
        <v>Серы диоксид</v>
      </c>
      <c r="E369" s="702" t="str">
        <f>'20 въезд-выезд авто'!AF46</f>
        <v>0330</v>
      </c>
      <c r="F369" s="638"/>
      <c r="G369" s="638"/>
      <c r="H369" s="638">
        <f>'20 въезд-выезд авто'!AG46</f>
        <v>5.9999999999999995E-4</v>
      </c>
      <c r="I369" s="638">
        <f>'20 въезд-выезд авто'!AH46</f>
        <v>1.7000000000000001E-4</v>
      </c>
      <c r="J369" s="638">
        <f>'20 въезд-выезд авто'!AG46</f>
        <v>5.9999999999999995E-4</v>
      </c>
      <c r="K369" s="638">
        <f>'20 въезд-выезд авто'!AH46</f>
        <v>1.7000000000000001E-4</v>
      </c>
      <c r="L369" s="638">
        <f>'20 въезд-выезд авто'!AG46</f>
        <v>5.9999999999999995E-4</v>
      </c>
      <c r="M369" s="638">
        <f>'20 въезд-выезд авто'!AH46</f>
        <v>1.7000000000000001E-4</v>
      </c>
      <c r="N369" s="638">
        <f>'20 въезд-выезд авто'!AG46</f>
        <v>5.9999999999999995E-4</v>
      </c>
      <c r="O369" s="638">
        <f>'20 въезд-выезд авто'!AH46</f>
        <v>1.7000000000000001E-4</v>
      </c>
    </row>
    <row r="370" spans="2:15" x14ac:dyDescent="0.25">
      <c r="B370" s="999"/>
      <c r="C370" s="528"/>
      <c r="D370" s="633" t="str">
        <f>'20 въезд-выезд авто'!AE47</f>
        <v>Керосин</v>
      </c>
      <c r="E370" s="702" t="str">
        <f>'20 въезд-выезд авто'!AF47</f>
        <v>2732</v>
      </c>
      <c r="F370" s="638"/>
      <c r="G370" s="638"/>
      <c r="H370" s="638">
        <f>'20 въезд-выезд авто'!AG47</f>
        <v>2.8999999999999998E-3</v>
      </c>
      <c r="I370" s="638">
        <f>'20 въезд-выезд авто'!AH47</f>
        <v>8.0000000000000004E-4</v>
      </c>
      <c r="J370" s="638">
        <f>'20 въезд-выезд авто'!AG47</f>
        <v>2.8999999999999998E-3</v>
      </c>
      <c r="K370" s="638">
        <f>'20 въезд-выезд авто'!AH47</f>
        <v>8.0000000000000004E-4</v>
      </c>
      <c r="L370" s="638">
        <f>'20 въезд-выезд авто'!AG47</f>
        <v>2.8999999999999998E-3</v>
      </c>
      <c r="M370" s="638">
        <f>'20 въезд-выезд авто'!AH47</f>
        <v>8.0000000000000004E-4</v>
      </c>
      <c r="N370" s="638">
        <f>'20 въезд-выезд авто'!AG47</f>
        <v>2.8999999999999998E-3</v>
      </c>
      <c r="O370" s="638">
        <f>'20 въезд-выезд авто'!AH47</f>
        <v>8.0000000000000004E-4</v>
      </c>
    </row>
    <row r="371" spans="2:15" x14ac:dyDescent="0.25">
      <c r="B371" s="999"/>
      <c r="C371" s="528"/>
      <c r="D371" s="633" t="str">
        <f>'20 въезд-выезд авто'!AE48</f>
        <v>Углерода оксид</v>
      </c>
      <c r="E371" s="702" t="str">
        <f>'20 въезд-выезд авто'!AF48</f>
        <v>0337</v>
      </c>
      <c r="F371" s="638"/>
      <c r="G371" s="638"/>
      <c r="H371" s="638">
        <f>'20 въезд-выезд авто'!AG48</f>
        <v>2.0799999999999999E-2</v>
      </c>
      <c r="I371" s="638">
        <f>'20 въезд-выезд авто'!AH48</f>
        <v>5.7999999999999996E-3</v>
      </c>
      <c r="J371" s="638">
        <f>'20 въезд-выезд авто'!AG48</f>
        <v>2.0799999999999999E-2</v>
      </c>
      <c r="K371" s="638">
        <f>'20 въезд-выезд авто'!AH48</f>
        <v>5.7999999999999996E-3</v>
      </c>
      <c r="L371" s="638">
        <f>'20 въезд-выезд авто'!AG48</f>
        <v>2.0799999999999999E-2</v>
      </c>
      <c r="M371" s="638">
        <f>'20 въезд-выезд авто'!AH48</f>
        <v>5.7999999999999996E-3</v>
      </c>
      <c r="N371" s="638">
        <f>'20 въезд-выезд авто'!AG48</f>
        <v>2.0799999999999999E-2</v>
      </c>
      <c r="O371" s="638">
        <f>'20 въезд-выезд авто'!AH48</f>
        <v>5.7999999999999996E-3</v>
      </c>
    </row>
    <row r="372" spans="2:15" x14ac:dyDescent="0.25">
      <c r="B372" s="999"/>
      <c r="C372" s="529"/>
      <c r="D372" s="640" t="str">
        <f>'20 въезд-выезд авто'!AE49</f>
        <v>Углерод</v>
      </c>
      <c r="E372" s="703" t="str">
        <f>'20 въезд-выезд авто'!AF49</f>
        <v>0328</v>
      </c>
      <c r="F372" s="645"/>
      <c r="G372" s="645"/>
      <c r="H372" s="645">
        <f>'20 въезд-выезд авто'!AG49</f>
        <v>2.9999999999999997E-4</v>
      </c>
      <c r="I372" s="645">
        <f>'20 въезд-выезд авто'!AH49</f>
        <v>8.0000000000000007E-5</v>
      </c>
      <c r="J372" s="645">
        <f>'20 въезд-выезд авто'!AG49</f>
        <v>2.9999999999999997E-4</v>
      </c>
      <c r="K372" s="645">
        <f>'20 въезд-выезд авто'!AH49</f>
        <v>8.0000000000000007E-5</v>
      </c>
      <c r="L372" s="645">
        <f>'20 въезд-выезд авто'!AG49</f>
        <v>2.9999999999999997E-4</v>
      </c>
      <c r="M372" s="645">
        <f>'20 въезд-выезд авто'!AH49</f>
        <v>8.0000000000000007E-5</v>
      </c>
      <c r="N372" s="645">
        <f>'20 въезд-выезд авто'!AG49</f>
        <v>2.9999999999999997E-4</v>
      </c>
      <c r="O372" s="645">
        <f>'20 въезд-выезд авто'!AH49</f>
        <v>8.0000000000000007E-5</v>
      </c>
    </row>
    <row r="373" spans="2:15" ht="16.5" customHeight="1" x14ac:dyDescent="0.25">
      <c r="B373" s="998" t="s">
        <v>253</v>
      </c>
      <c r="C373" s="525" t="s">
        <v>262</v>
      </c>
      <c r="D373" s="626" t="str">
        <f>'20 въезд-выезд авто'!AE51</f>
        <v>Азота диоксид</v>
      </c>
      <c r="E373" s="701" t="str">
        <f>'20 въезд-выезд авто'!AF51</f>
        <v>0301</v>
      </c>
      <c r="F373" s="631"/>
      <c r="G373" s="631"/>
      <c r="H373" s="631">
        <f>'20 въезд-выезд авто'!AG51</f>
        <v>2.8E-3</v>
      </c>
      <c r="I373" s="631">
        <f>'20 въезд-выезд авто'!AH51</f>
        <v>1E-3</v>
      </c>
      <c r="J373" s="631">
        <f>'20 въезд-выезд авто'!AG51</f>
        <v>2.8E-3</v>
      </c>
      <c r="K373" s="631">
        <f>'20 въезд-выезд авто'!AH51</f>
        <v>1E-3</v>
      </c>
      <c r="L373" s="631">
        <f>'20 въезд-выезд авто'!AG51</f>
        <v>2.8E-3</v>
      </c>
      <c r="M373" s="631">
        <f>'20 въезд-выезд авто'!AH51</f>
        <v>1E-3</v>
      </c>
      <c r="N373" s="631">
        <f>'20 въезд-выезд авто'!AG51</f>
        <v>2.8E-3</v>
      </c>
      <c r="O373" s="631">
        <f>'20 въезд-выезд авто'!AH51</f>
        <v>1E-3</v>
      </c>
    </row>
    <row r="374" spans="2:15" x14ac:dyDescent="0.25">
      <c r="B374" s="999"/>
      <c r="C374" s="528" t="s">
        <v>214</v>
      </c>
      <c r="D374" s="633" t="str">
        <f>'20 въезд-выезд авто'!AE52</f>
        <v>Азота оксид</v>
      </c>
      <c r="E374" s="702" t="str">
        <f>'20 въезд-выезд авто'!AF52</f>
        <v>0304</v>
      </c>
      <c r="F374" s="638"/>
      <c r="G374" s="638"/>
      <c r="H374" s="638">
        <f>'20 въезд-выезд авто'!AG52</f>
        <v>5.0000000000000001E-4</v>
      </c>
      <c r="I374" s="638">
        <f>'20 въезд-выезд авто'!AH52</f>
        <v>2.0000000000000001E-4</v>
      </c>
      <c r="J374" s="638">
        <f>'20 въезд-выезд авто'!AG52</f>
        <v>5.0000000000000001E-4</v>
      </c>
      <c r="K374" s="638">
        <f>'20 въезд-выезд авто'!AH52</f>
        <v>2.0000000000000001E-4</v>
      </c>
      <c r="L374" s="638">
        <f>'20 въезд-выезд авто'!AG52</f>
        <v>5.0000000000000001E-4</v>
      </c>
      <c r="M374" s="638">
        <f>'20 въезд-выезд авто'!AH52</f>
        <v>2.0000000000000001E-4</v>
      </c>
      <c r="N374" s="638">
        <f>'20 въезд-выезд авто'!AG52</f>
        <v>5.0000000000000001E-4</v>
      </c>
      <c r="O374" s="638">
        <f>'20 въезд-выезд авто'!AH52</f>
        <v>2.0000000000000001E-4</v>
      </c>
    </row>
    <row r="375" spans="2:15" x14ac:dyDescent="0.25">
      <c r="B375" s="999"/>
      <c r="C375" s="528"/>
      <c r="D375" s="633" t="str">
        <f>'20 въезд-выезд авто'!AE53</f>
        <v>Серы диоксид</v>
      </c>
      <c r="E375" s="702" t="str">
        <f>'20 въезд-выезд авто'!AF53</f>
        <v>0330</v>
      </c>
      <c r="F375" s="638"/>
      <c r="G375" s="638"/>
      <c r="H375" s="638">
        <f>'20 въезд-выезд авто'!AG53</f>
        <v>5.9999999999999995E-4</v>
      </c>
      <c r="I375" s="638">
        <f>'20 въезд-выезд авто'!AH53</f>
        <v>1.7000000000000001E-4</v>
      </c>
      <c r="J375" s="638">
        <f>'20 въезд-выезд авто'!AG53</f>
        <v>5.9999999999999995E-4</v>
      </c>
      <c r="K375" s="638">
        <f>'20 въезд-выезд авто'!AH53</f>
        <v>1.7000000000000001E-4</v>
      </c>
      <c r="L375" s="638">
        <f>'20 въезд-выезд авто'!AG53</f>
        <v>5.9999999999999995E-4</v>
      </c>
      <c r="M375" s="638">
        <f>'20 въезд-выезд авто'!AH53</f>
        <v>1.7000000000000001E-4</v>
      </c>
      <c r="N375" s="638">
        <f>'20 въезд-выезд авто'!AG53</f>
        <v>5.9999999999999995E-4</v>
      </c>
      <c r="O375" s="638">
        <f>'20 въезд-выезд авто'!AH53</f>
        <v>1.7000000000000001E-4</v>
      </c>
    </row>
    <row r="376" spans="2:15" x14ac:dyDescent="0.25">
      <c r="B376" s="999"/>
      <c r="C376" s="528"/>
      <c r="D376" s="633" t="str">
        <f>'20 въезд-выезд авто'!AE54</f>
        <v>Керосин</v>
      </c>
      <c r="E376" s="702" t="str">
        <f>'20 въезд-выезд авто'!AF54</f>
        <v>2732</v>
      </c>
      <c r="F376" s="638"/>
      <c r="G376" s="638"/>
      <c r="H376" s="638">
        <f>'20 въезд-выезд авто'!AG54</f>
        <v>2.8999999999999998E-3</v>
      </c>
      <c r="I376" s="638">
        <f>'20 въезд-выезд авто'!AH54</f>
        <v>8.0000000000000004E-4</v>
      </c>
      <c r="J376" s="638">
        <f>'20 въезд-выезд авто'!AG54</f>
        <v>2.8999999999999998E-3</v>
      </c>
      <c r="K376" s="638">
        <f>'20 въезд-выезд авто'!AH54</f>
        <v>8.0000000000000004E-4</v>
      </c>
      <c r="L376" s="638">
        <f>'20 въезд-выезд авто'!AG54</f>
        <v>2.8999999999999998E-3</v>
      </c>
      <c r="M376" s="638">
        <f>'20 въезд-выезд авто'!AH54</f>
        <v>8.0000000000000004E-4</v>
      </c>
      <c r="N376" s="638">
        <f>'20 въезд-выезд авто'!AG54</f>
        <v>2.8999999999999998E-3</v>
      </c>
      <c r="O376" s="638">
        <f>'20 въезд-выезд авто'!AH54</f>
        <v>8.0000000000000004E-4</v>
      </c>
    </row>
    <row r="377" spans="2:15" x14ac:dyDescent="0.25">
      <c r="B377" s="999"/>
      <c r="C377" s="528"/>
      <c r="D377" s="633" t="str">
        <f>'20 въезд-выезд авто'!AE55</f>
        <v>Углерода оксид</v>
      </c>
      <c r="E377" s="702" t="str">
        <f>'20 въезд-выезд авто'!AF55</f>
        <v>0337</v>
      </c>
      <c r="F377" s="638"/>
      <c r="G377" s="638"/>
      <c r="H377" s="638">
        <f>'20 въезд-выезд авто'!AG55</f>
        <v>2.0799999999999999E-2</v>
      </c>
      <c r="I377" s="638">
        <f>'20 въезд-выезд авто'!AH55</f>
        <v>5.7999999999999996E-3</v>
      </c>
      <c r="J377" s="638">
        <f>'20 въезд-выезд авто'!AG55</f>
        <v>2.0799999999999999E-2</v>
      </c>
      <c r="K377" s="638">
        <f>'20 въезд-выезд авто'!AH55</f>
        <v>5.7999999999999996E-3</v>
      </c>
      <c r="L377" s="638">
        <f>'20 въезд-выезд авто'!AG55</f>
        <v>2.0799999999999999E-2</v>
      </c>
      <c r="M377" s="638">
        <f>'20 въезд-выезд авто'!AH55</f>
        <v>5.7999999999999996E-3</v>
      </c>
      <c r="N377" s="638">
        <f>'20 въезд-выезд авто'!AG55</f>
        <v>2.0799999999999999E-2</v>
      </c>
      <c r="O377" s="638">
        <f>'20 въезд-выезд авто'!AH55</f>
        <v>5.7999999999999996E-3</v>
      </c>
    </row>
    <row r="378" spans="2:15" x14ac:dyDescent="0.25">
      <c r="B378" s="999"/>
      <c r="C378" s="529"/>
      <c r="D378" s="640" t="str">
        <f>'20 въезд-выезд авто'!AE56</f>
        <v>Углерод</v>
      </c>
      <c r="E378" s="703" t="str">
        <f>'20 въезд-выезд авто'!AF56</f>
        <v>0328</v>
      </c>
      <c r="F378" s="645"/>
      <c r="G378" s="645"/>
      <c r="H378" s="645">
        <f>'20 въезд-выезд авто'!AG56</f>
        <v>2.9999999999999997E-4</v>
      </c>
      <c r="I378" s="645">
        <f>'20 въезд-выезд авто'!AH56</f>
        <v>8.0000000000000007E-5</v>
      </c>
      <c r="J378" s="645">
        <f>'20 въезд-выезд авто'!AG56</f>
        <v>2.9999999999999997E-4</v>
      </c>
      <c r="K378" s="645">
        <f>'20 въезд-выезд авто'!AH56</f>
        <v>8.0000000000000007E-5</v>
      </c>
      <c r="L378" s="645">
        <f>'20 въезд-выезд авто'!AG56</f>
        <v>2.9999999999999997E-4</v>
      </c>
      <c r="M378" s="645">
        <f>'20 въезд-выезд авто'!AH56</f>
        <v>8.0000000000000007E-5</v>
      </c>
      <c r="N378" s="645">
        <f>'20 въезд-выезд авто'!AG56</f>
        <v>2.9999999999999997E-4</v>
      </c>
      <c r="O378" s="645">
        <f>'20 въезд-выезд авто'!AH56</f>
        <v>8.0000000000000007E-5</v>
      </c>
    </row>
    <row r="379" spans="2:15" ht="16.5" customHeight="1" x14ac:dyDescent="0.25">
      <c r="B379" s="998" t="s">
        <v>261</v>
      </c>
      <c r="C379" s="525" t="s">
        <v>286</v>
      </c>
      <c r="D379" s="626" t="str">
        <f>'20 въезд-выезд авто'!AE58</f>
        <v>Азота диоксид</v>
      </c>
      <c r="E379" s="701" t="str">
        <f>'20 въезд-выезд авто'!AF58</f>
        <v>0301</v>
      </c>
      <c r="F379" s="631"/>
      <c r="G379" s="631"/>
      <c r="H379" s="631">
        <f>'20 въезд-выезд авто'!AG58</f>
        <v>2.8E-3</v>
      </c>
      <c r="I379" s="631">
        <f>'20 въезд-выезд авто'!AH58</f>
        <v>1E-3</v>
      </c>
      <c r="J379" s="631">
        <f>'20 въезд-выезд авто'!AG58</f>
        <v>2.8E-3</v>
      </c>
      <c r="K379" s="631">
        <f>'20 въезд-выезд авто'!AH58</f>
        <v>1E-3</v>
      </c>
      <c r="L379" s="631">
        <f>'20 въезд-выезд авто'!AG58</f>
        <v>2.8E-3</v>
      </c>
      <c r="M379" s="631">
        <f>'20 въезд-выезд авто'!AH58</f>
        <v>1E-3</v>
      </c>
      <c r="N379" s="631">
        <f>'20 въезд-выезд авто'!AG58</f>
        <v>2.8E-3</v>
      </c>
      <c r="O379" s="631">
        <f>'20 въезд-выезд авто'!AH58</f>
        <v>1E-3</v>
      </c>
    </row>
    <row r="380" spans="2:15" x14ac:dyDescent="0.25">
      <c r="B380" s="999"/>
      <c r="C380" s="528" t="s">
        <v>214</v>
      </c>
      <c r="D380" s="633" t="str">
        <f>'20 въезд-выезд авто'!AE59</f>
        <v>Азота оксид</v>
      </c>
      <c r="E380" s="702" t="str">
        <f>'20 въезд-выезд авто'!AF59</f>
        <v>0304</v>
      </c>
      <c r="F380" s="638"/>
      <c r="G380" s="638"/>
      <c r="H380" s="638">
        <f>'20 въезд-выезд авто'!AG59</f>
        <v>5.0000000000000001E-4</v>
      </c>
      <c r="I380" s="638">
        <f>'20 въезд-выезд авто'!AH59</f>
        <v>2.0000000000000001E-4</v>
      </c>
      <c r="J380" s="638">
        <f>'20 въезд-выезд авто'!AG59</f>
        <v>5.0000000000000001E-4</v>
      </c>
      <c r="K380" s="638">
        <f>'20 въезд-выезд авто'!AH59</f>
        <v>2.0000000000000001E-4</v>
      </c>
      <c r="L380" s="638">
        <f>'20 въезд-выезд авто'!AG59</f>
        <v>5.0000000000000001E-4</v>
      </c>
      <c r="M380" s="638">
        <f>'20 въезд-выезд авто'!AH59</f>
        <v>2.0000000000000001E-4</v>
      </c>
      <c r="N380" s="638">
        <f>'20 въезд-выезд авто'!AG59</f>
        <v>5.0000000000000001E-4</v>
      </c>
      <c r="O380" s="638">
        <f>'20 въезд-выезд авто'!AH59</f>
        <v>2.0000000000000001E-4</v>
      </c>
    </row>
    <row r="381" spans="2:15" x14ac:dyDescent="0.25">
      <c r="B381" s="999"/>
      <c r="C381" s="528"/>
      <c r="D381" s="633" t="str">
        <f>'20 въезд-выезд авто'!AE60</f>
        <v>Серы диоксид</v>
      </c>
      <c r="E381" s="702" t="str">
        <f>'20 въезд-выезд авто'!AF60</f>
        <v>0330</v>
      </c>
      <c r="F381" s="638"/>
      <c r="G381" s="638"/>
      <c r="H381" s="638">
        <f>'20 въезд-выезд авто'!AG60</f>
        <v>5.9999999999999995E-4</v>
      </c>
      <c r="I381" s="638">
        <f>'20 въезд-выезд авто'!AH60</f>
        <v>1.7000000000000001E-4</v>
      </c>
      <c r="J381" s="638">
        <f>'20 въезд-выезд авто'!AG60</f>
        <v>5.9999999999999995E-4</v>
      </c>
      <c r="K381" s="638">
        <f>'20 въезд-выезд авто'!AH60</f>
        <v>1.7000000000000001E-4</v>
      </c>
      <c r="L381" s="638">
        <f>'20 въезд-выезд авто'!AG60</f>
        <v>5.9999999999999995E-4</v>
      </c>
      <c r="M381" s="638">
        <f>'20 въезд-выезд авто'!AH60</f>
        <v>1.7000000000000001E-4</v>
      </c>
      <c r="N381" s="638">
        <f>'20 въезд-выезд авто'!AG60</f>
        <v>5.9999999999999995E-4</v>
      </c>
      <c r="O381" s="638">
        <f>'20 въезд-выезд авто'!AH60</f>
        <v>1.7000000000000001E-4</v>
      </c>
    </row>
    <row r="382" spans="2:15" x14ac:dyDescent="0.25">
      <c r="B382" s="999"/>
      <c r="C382" s="528"/>
      <c r="D382" s="633" t="str">
        <f>'20 въезд-выезд авто'!AE61</f>
        <v>Керосин</v>
      </c>
      <c r="E382" s="702" t="str">
        <f>'20 въезд-выезд авто'!AF61</f>
        <v>2732</v>
      </c>
      <c r="F382" s="638"/>
      <c r="G382" s="638"/>
      <c r="H382" s="638">
        <f>'20 въезд-выезд авто'!AG61</f>
        <v>2.8999999999999998E-3</v>
      </c>
      <c r="I382" s="638">
        <f>'20 въезд-выезд авто'!AH61</f>
        <v>8.0000000000000004E-4</v>
      </c>
      <c r="J382" s="638">
        <f>'20 въезд-выезд авто'!AG61</f>
        <v>2.8999999999999998E-3</v>
      </c>
      <c r="K382" s="638">
        <f>'20 въезд-выезд авто'!AH61</f>
        <v>8.0000000000000004E-4</v>
      </c>
      <c r="L382" s="638">
        <f>'20 въезд-выезд авто'!AG61</f>
        <v>2.8999999999999998E-3</v>
      </c>
      <c r="M382" s="638">
        <f>'20 въезд-выезд авто'!AH61</f>
        <v>8.0000000000000004E-4</v>
      </c>
      <c r="N382" s="638">
        <f>'20 въезд-выезд авто'!AG61</f>
        <v>2.8999999999999998E-3</v>
      </c>
      <c r="O382" s="638">
        <f>'20 въезд-выезд авто'!AH61</f>
        <v>8.0000000000000004E-4</v>
      </c>
    </row>
    <row r="383" spans="2:15" x14ac:dyDescent="0.25">
      <c r="B383" s="999"/>
      <c r="C383" s="528"/>
      <c r="D383" s="633" t="str">
        <f>'20 въезд-выезд авто'!AE62</f>
        <v>Углерода оксид</v>
      </c>
      <c r="E383" s="702" t="str">
        <f>'20 въезд-выезд авто'!AF62</f>
        <v>0337</v>
      </c>
      <c r="F383" s="638"/>
      <c r="G383" s="638"/>
      <c r="H383" s="638">
        <f>'20 въезд-выезд авто'!AG62</f>
        <v>2.0799999999999999E-2</v>
      </c>
      <c r="I383" s="638">
        <f>'20 въезд-выезд авто'!AH62</f>
        <v>5.7999999999999996E-3</v>
      </c>
      <c r="J383" s="638">
        <f>'20 въезд-выезд авто'!AG62</f>
        <v>2.0799999999999999E-2</v>
      </c>
      <c r="K383" s="638">
        <f>'20 въезд-выезд авто'!AH62</f>
        <v>5.7999999999999996E-3</v>
      </c>
      <c r="L383" s="638">
        <f>'20 въезд-выезд авто'!AG62</f>
        <v>2.0799999999999999E-2</v>
      </c>
      <c r="M383" s="638">
        <f>'20 въезд-выезд авто'!AH62</f>
        <v>5.7999999999999996E-3</v>
      </c>
      <c r="N383" s="638">
        <f>'20 въезд-выезд авто'!AG62</f>
        <v>2.0799999999999999E-2</v>
      </c>
      <c r="O383" s="638">
        <f>'20 въезд-выезд авто'!AH62</f>
        <v>5.7999999999999996E-3</v>
      </c>
    </row>
    <row r="384" spans="2:15" x14ac:dyDescent="0.25">
      <c r="B384" s="999"/>
      <c r="C384" s="529"/>
      <c r="D384" s="640" t="str">
        <f>'20 въезд-выезд авто'!AE63</f>
        <v>Углерод</v>
      </c>
      <c r="E384" s="703" t="str">
        <f>'20 въезд-выезд авто'!AF63</f>
        <v>0328</v>
      </c>
      <c r="F384" s="645"/>
      <c r="G384" s="645"/>
      <c r="H384" s="645">
        <f>'20 въезд-выезд авто'!AG63</f>
        <v>2.9999999999999997E-4</v>
      </c>
      <c r="I384" s="645">
        <f>'20 въезд-выезд авто'!AH63</f>
        <v>8.0000000000000007E-5</v>
      </c>
      <c r="J384" s="645">
        <f>'20 въезд-выезд авто'!AG63</f>
        <v>2.9999999999999997E-4</v>
      </c>
      <c r="K384" s="645">
        <f>'20 въезд-выезд авто'!AH63</f>
        <v>8.0000000000000007E-5</v>
      </c>
      <c r="L384" s="645">
        <f>'20 въезд-выезд авто'!AG63</f>
        <v>2.9999999999999997E-4</v>
      </c>
      <c r="M384" s="645">
        <f>'20 въезд-выезд авто'!AH63</f>
        <v>8.0000000000000007E-5</v>
      </c>
      <c r="N384" s="645">
        <f>'20 въезд-выезд авто'!AG63</f>
        <v>2.9999999999999997E-4</v>
      </c>
      <c r="O384" s="645">
        <f>'20 въезд-выезд авто'!AH63</f>
        <v>8.0000000000000007E-5</v>
      </c>
    </row>
    <row r="385" spans="2:15" ht="16.5" customHeight="1" x14ac:dyDescent="0.25">
      <c r="B385" s="998" t="s">
        <v>280</v>
      </c>
      <c r="C385" s="525" t="s">
        <v>291</v>
      </c>
      <c r="D385" s="626" t="str">
        <f>'20 въезд-выезд авто'!AE65</f>
        <v>Азота диоксид</v>
      </c>
      <c r="E385" s="701" t="str">
        <f>'20 въезд-выезд авто'!AF65</f>
        <v>0301</v>
      </c>
      <c r="F385" s="631"/>
      <c r="G385" s="631"/>
      <c r="H385" s="631">
        <f>'20 въезд-выезд авто'!AG65</f>
        <v>2.8E-3</v>
      </c>
      <c r="I385" s="631">
        <f>'20 въезд-выезд авто'!AH65</f>
        <v>1E-3</v>
      </c>
      <c r="J385" s="631">
        <f>'20 въезд-выезд авто'!AG65</f>
        <v>2.8E-3</v>
      </c>
      <c r="K385" s="631">
        <f>'20 въезд-выезд авто'!AH65</f>
        <v>1E-3</v>
      </c>
      <c r="L385" s="631">
        <f>'20 въезд-выезд авто'!AG65</f>
        <v>2.8E-3</v>
      </c>
      <c r="M385" s="631">
        <f>'20 въезд-выезд авто'!AH65</f>
        <v>1E-3</v>
      </c>
      <c r="N385" s="631">
        <f>'20 въезд-выезд авто'!AG65</f>
        <v>2.8E-3</v>
      </c>
      <c r="O385" s="631">
        <f>'20 въезд-выезд авто'!AH65</f>
        <v>1E-3</v>
      </c>
    </row>
    <row r="386" spans="2:15" x14ac:dyDescent="0.25">
      <c r="B386" s="999"/>
      <c r="C386" s="528" t="s">
        <v>214</v>
      </c>
      <c r="D386" s="633" t="str">
        <f>'20 въезд-выезд авто'!AE66</f>
        <v>Азота оксид</v>
      </c>
      <c r="E386" s="702" t="str">
        <f>'20 въезд-выезд авто'!AF66</f>
        <v>0304</v>
      </c>
      <c r="F386" s="638"/>
      <c r="G386" s="638"/>
      <c r="H386" s="638">
        <f>'20 въезд-выезд авто'!AG66</f>
        <v>5.0000000000000001E-4</v>
      </c>
      <c r="I386" s="638">
        <f>'20 въезд-выезд авто'!AH66</f>
        <v>2.0000000000000001E-4</v>
      </c>
      <c r="J386" s="638">
        <f>'20 въезд-выезд авто'!AG66</f>
        <v>5.0000000000000001E-4</v>
      </c>
      <c r="K386" s="638">
        <f>'20 въезд-выезд авто'!AH66</f>
        <v>2.0000000000000001E-4</v>
      </c>
      <c r="L386" s="638">
        <f>'20 въезд-выезд авто'!AG66</f>
        <v>5.0000000000000001E-4</v>
      </c>
      <c r="M386" s="638">
        <f>'20 въезд-выезд авто'!AH66</f>
        <v>2.0000000000000001E-4</v>
      </c>
      <c r="N386" s="638">
        <f>'20 въезд-выезд авто'!AG66</f>
        <v>5.0000000000000001E-4</v>
      </c>
      <c r="O386" s="638">
        <f>'20 въезд-выезд авто'!AH66</f>
        <v>2.0000000000000001E-4</v>
      </c>
    </row>
    <row r="387" spans="2:15" x14ac:dyDescent="0.25">
      <c r="B387" s="999"/>
      <c r="C387" s="528"/>
      <c r="D387" s="633" t="str">
        <f>'20 въезд-выезд авто'!AE67</f>
        <v>Серы диоксид</v>
      </c>
      <c r="E387" s="702" t="str">
        <f>'20 въезд-выезд авто'!AF67</f>
        <v>0330</v>
      </c>
      <c r="F387" s="638"/>
      <c r="G387" s="638"/>
      <c r="H387" s="638">
        <f>'20 въезд-выезд авто'!AG67</f>
        <v>5.9999999999999995E-4</v>
      </c>
      <c r="I387" s="638">
        <f>'20 въезд-выезд авто'!AH67</f>
        <v>1.7000000000000001E-4</v>
      </c>
      <c r="J387" s="638">
        <f>'20 въезд-выезд авто'!AG67</f>
        <v>5.9999999999999995E-4</v>
      </c>
      <c r="K387" s="638">
        <f>'20 въезд-выезд авто'!AH67</f>
        <v>1.7000000000000001E-4</v>
      </c>
      <c r="L387" s="638">
        <f>'20 въезд-выезд авто'!AG67</f>
        <v>5.9999999999999995E-4</v>
      </c>
      <c r="M387" s="638">
        <f>'20 въезд-выезд авто'!AH67</f>
        <v>1.7000000000000001E-4</v>
      </c>
      <c r="N387" s="638">
        <f>'20 въезд-выезд авто'!AG67</f>
        <v>5.9999999999999995E-4</v>
      </c>
      <c r="O387" s="638">
        <f>'20 въезд-выезд авто'!AH67</f>
        <v>1.7000000000000001E-4</v>
      </c>
    </row>
    <row r="388" spans="2:15" x14ac:dyDescent="0.25">
      <c r="B388" s="999"/>
      <c r="C388" s="528"/>
      <c r="D388" s="633" t="str">
        <f>'20 въезд-выезд авто'!AE68</f>
        <v>Керосин</v>
      </c>
      <c r="E388" s="702" t="str">
        <f>'20 въезд-выезд авто'!AF68</f>
        <v>2732</v>
      </c>
      <c r="F388" s="638"/>
      <c r="G388" s="638"/>
      <c r="H388" s="638">
        <f>'20 въезд-выезд авто'!AG68</f>
        <v>2.8999999999999998E-3</v>
      </c>
      <c r="I388" s="638">
        <f>'20 въезд-выезд авто'!AH68</f>
        <v>8.0000000000000004E-4</v>
      </c>
      <c r="J388" s="638">
        <f>'20 въезд-выезд авто'!AG68</f>
        <v>2.8999999999999998E-3</v>
      </c>
      <c r="K388" s="638">
        <f>'20 въезд-выезд авто'!AH68</f>
        <v>8.0000000000000004E-4</v>
      </c>
      <c r="L388" s="638">
        <f>'20 въезд-выезд авто'!AG68</f>
        <v>2.8999999999999998E-3</v>
      </c>
      <c r="M388" s="638">
        <f>'20 въезд-выезд авто'!AH68</f>
        <v>8.0000000000000004E-4</v>
      </c>
      <c r="N388" s="638">
        <f>'20 въезд-выезд авто'!AG68</f>
        <v>2.8999999999999998E-3</v>
      </c>
      <c r="O388" s="638">
        <f>'20 въезд-выезд авто'!AH68</f>
        <v>8.0000000000000004E-4</v>
      </c>
    </row>
    <row r="389" spans="2:15" x14ac:dyDescent="0.25">
      <c r="B389" s="999"/>
      <c r="C389" s="528"/>
      <c r="D389" s="633" t="str">
        <f>'20 въезд-выезд авто'!AE69</f>
        <v>Углерода оксид</v>
      </c>
      <c r="E389" s="702" t="str">
        <f>'20 въезд-выезд авто'!AF69</f>
        <v>0337</v>
      </c>
      <c r="F389" s="638"/>
      <c r="G389" s="638"/>
      <c r="H389" s="638">
        <f>'20 въезд-выезд авто'!AG69</f>
        <v>2.0799999999999999E-2</v>
      </c>
      <c r="I389" s="638">
        <f>'20 въезд-выезд авто'!AH69</f>
        <v>5.7999999999999996E-3</v>
      </c>
      <c r="J389" s="638">
        <f>'20 въезд-выезд авто'!AG69</f>
        <v>2.0799999999999999E-2</v>
      </c>
      <c r="K389" s="638">
        <f>'20 въезд-выезд авто'!AH69</f>
        <v>5.7999999999999996E-3</v>
      </c>
      <c r="L389" s="638">
        <f>'20 въезд-выезд авто'!AG69</f>
        <v>2.0799999999999999E-2</v>
      </c>
      <c r="M389" s="638">
        <f>'20 въезд-выезд авто'!AH69</f>
        <v>5.7999999999999996E-3</v>
      </c>
      <c r="N389" s="638">
        <f>'20 въезд-выезд авто'!AG69</f>
        <v>2.0799999999999999E-2</v>
      </c>
      <c r="O389" s="638">
        <f>'20 въезд-выезд авто'!AH69</f>
        <v>5.7999999999999996E-3</v>
      </c>
    </row>
    <row r="390" spans="2:15" x14ac:dyDescent="0.25">
      <c r="B390" s="999"/>
      <c r="C390" s="529"/>
      <c r="D390" s="640" t="str">
        <f>'20 въезд-выезд авто'!AE70</f>
        <v>Углерод</v>
      </c>
      <c r="E390" s="703" t="str">
        <f>'20 въезд-выезд авто'!AF70</f>
        <v>0328</v>
      </c>
      <c r="F390" s="645"/>
      <c r="G390" s="645"/>
      <c r="H390" s="645">
        <f>'20 въезд-выезд авто'!AG70</f>
        <v>2.9999999999999997E-4</v>
      </c>
      <c r="I390" s="645">
        <f>'20 въезд-выезд авто'!AH70</f>
        <v>8.0000000000000007E-5</v>
      </c>
      <c r="J390" s="645">
        <f>'20 въезд-выезд авто'!AG70</f>
        <v>2.9999999999999997E-4</v>
      </c>
      <c r="K390" s="645">
        <f>'20 въезд-выезд авто'!AH70</f>
        <v>8.0000000000000007E-5</v>
      </c>
      <c r="L390" s="645">
        <f>'20 въезд-выезд авто'!AG70</f>
        <v>2.9999999999999997E-4</v>
      </c>
      <c r="M390" s="645">
        <f>'20 въезд-выезд авто'!AH70</f>
        <v>8.0000000000000007E-5</v>
      </c>
      <c r="N390" s="645">
        <f>'20 въезд-выезд авто'!AG70</f>
        <v>2.9999999999999997E-4</v>
      </c>
      <c r="O390" s="645">
        <f>'20 въезд-выезд авто'!AH70</f>
        <v>8.0000000000000007E-5</v>
      </c>
    </row>
    <row r="391" spans="2:15" ht="16.5" customHeight="1" x14ac:dyDescent="0.25">
      <c r="B391" s="998" t="s">
        <v>295</v>
      </c>
      <c r="C391" s="525" t="s">
        <v>296</v>
      </c>
      <c r="D391" s="626" t="str">
        <f>'20 въезд-выезд авто'!AE96</f>
        <v>Азота диоксид</v>
      </c>
      <c r="E391" s="701" t="str">
        <f>'20 въезд-выезд авто'!AF96</f>
        <v>0301</v>
      </c>
      <c r="F391" s="631"/>
      <c r="G391" s="631"/>
      <c r="H391" s="631">
        <f>'20 въезд-выезд авто'!AG96</f>
        <v>4.7000000000000002E-3</v>
      </c>
      <c r="I391" s="631">
        <f>'20 въезд-выезд авто'!AH96</f>
        <v>3.8E-3</v>
      </c>
      <c r="J391" s="631">
        <f>'20 въезд-выезд авто'!AG96</f>
        <v>4.7000000000000002E-3</v>
      </c>
      <c r="K391" s="631">
        <f>'20 въезд-выезд авто'!AH96</f>
        <v>3.8E-3</v>
      </c>
      <c r="L391" s="631">
        <f>'20 въезд-выезд авто'!AG96</f>
        <v>4.7000000000000002E-3</v>
      </c>
      <c r="M391" s="631">
        <f>'20 въезд-выезд авто'!AH96</f>
        <v>3.8E-3</v>
      </c>
      <c r="N391" s="631">
        <f>'20 въезд-выезд авто'!AG96</f>
        <v>4.7000000000000002E-3</v>
      </c>
      <c r="O391" s="631">
        <f>'20 въезд-выезд авто'!AH96</f>
        <v>3.8E-3</v>
      </c>
    </row>
    <row r="392" spans="2:15" x14ac:dyDescent="0.25">
      <c r="B392" s="999"/>
      <c r="C392" s="528" t="s">
        <v>150</v>
      </c>
      <c r="D392" s="633" t="str">
        <f>'20 въезд-выезд авто'!AE97</f>
        <v>Азота оксид</v>
      </c>
      <c r="E392" s="702" t="str">
        <f>'20 въезд-выезд авто'!AF97</f>
        <v>0304</v>
      </c>
      <c r="F392" s="638"/>
      <c r="G392" s="638"/>
      <c r="H392" s="638">
        <f>'20 въезд-выезд авто'!AG97</f>
        <v>8.0000000000000004E-4</v>
      </c>
      <c r="I392" s="638">
        <f>'20 въезд-выезд авто'!AH97</f>
        <v>6.0000000000000006E-4</v>
      </c>
      <c r="J392" s="638">
        <f>'20 въезд-выезд авто'!AG97</f>
        <v>8.0000000000000004E-4</v>
      </c>
      <c r="K392" s="638">
        <f>'20 въезд-выезд авто'!AH97</f>
        <v>6.0000000000000006E-4</v>
      </c>
      <c r="L392" s="638">
        <f>'20 въезд-выезд авто'!AG97</f>
        <v>8.0000000000000004E-4</v>
      </c>
      <c r="M392" s="638">
        <f>'20 въезд-выезд авто'!AH97</f>
        <v>6.0000000000000006E-4</v>
      </c>
      <c r="N392" s="638">
        <f>'20 въезд-выезд авто'!AG97</f>
        <v>8.0000000000000004E-4</v>
      </c>
      <c r="O392" s="638">
        <f>'20 въезд-выезд авто'!AH97</f>
        <v>6.0000000000000006E-4</v>
      </c>
    </row>
    <row r="393" spans="2:15" x14ac:dyDescent="0.25">
      <c r="B393" s="999"/>
      <c r="C393" s="528"/>
      <c r="D393" s="633" t="str">
        <f>'20 въезд-выезд авто'!AE98</f>
        <v>Серы диоксид</v>
      </c>
      <c r="E393" s="702" t="str">
        <f>'20 въезд-выезд авто'!AF98</f>
        <v>0330</v>
      </c>
      <c r="F393" s="638"/>
      <c r="G393" s="638"/>
      <c r="H393" s="638">
        <f>'20 въезд-выезд авто'!AG98</f>
        <v>6.9999999999999999E-4</v>
      </c>
      <c r="I393" s="638">
        <f>'20 въезд-выезд авто'!AH98</f>
        <v>6.3000000000000003E-4</v>
      </c>
      <c r="J393" s="638">
        <f>'20 въезд-выезд авто'!AG98</f>
        <v>6.9999999999999999E-4</v>
      </c>
      <c r="K393" s="638">
        <f>'20 въезд-выезд авто'!AH98</f>
        <v>6.3000000000000003E-4</v>
      </c>
      <c r="L393" s="638">
        <f>'20 въезд-выезд авто'!AG98</f>
        <v>6.9999999999999999E-4</v>
      </c>
      <c r="M393" s="638">
        <f>'20 въезд-выезд авто'!AH98</f>
        <v>6.3000000000000003E-4</v>
      </c>
      <c r="N393" s="638">
        <f>'20 въезд-выезд авто'!AG98</f>
        <v>6.9999999999999999E-4</v>
      </c>
      <c r="O393" s="638">
        <f>'20 въезд-выезд авто'!AH98</f>
        <v>6.3000000000000003E-4</v>
      </c>
    </row>
    <row r="394" spans="2:15" x14ac:dyDescent="0.25">
      <c r="B394" s="999"/>
      <c r="C394" s="528"/>
      <c r="D394" s="633" t="str">
        <f>'20 въезд-выезд авто'!AE99</f>
        <v>Керосин</v>
      </c>
      <c r="E394" s="702" t="str">
        <f>'20 въезд-выезд авто'!AF99</f>
        <v>2732</v>
      </c>
      <c r="F394" s="638"/>
      <c r="G394" s="638"/>
      <c r="H394" s="638">
        <f>'20 въезд-выезд авто'!AG99</f>
        <v>4.0000000000000001E-3</v>
      </c>
      <c r="I394" s="638">
        <f>'20 въезд-выезд авто'!AH99</f>
        <v>2.8E-3</v>
      </c>
      <c r="J394" s="638">
        <f>'20 въезд-выезд авто'!AG99</f>
        <v>4.0000000000000001E-3</v>
      </c>
      <c r="K394" s="638">
        <f>'20 въезд-выезд авто'!AH99</f>
        <v>2.8E-3</v>
      </c>
      <c r="L394" s="638">
        <f>'20 въезд-выезд авто'!AG99</f>
        <v>4.0000000000000001E-3</v>
      </c>
      <c r="M394" s="638">
        <f>'20 въезд-выезд авто'!AH99</f>
        <v>2.8E-3</v>
      </c>
      <c r="N394" s="638">
        <f>'20 въезд-выезд авто'!AG99</f>
        <v>4.0000000000000001E-3</v>
      </c>
      <c r="O394" s="638">
        <f>'20 въезд-выезд авто'!AH99</f>
        <v>2.8E-3</v>
      </c>
    </row>
    <row r="395" spans="2:15" x14ac:dyDescent="0.25">
      <c r="B395" s="999"/>
      <c r="C395" s="528"/>
      <c r="D395" s="633" t="str">
        <f>'20 въезд-выезд авто'!AE100</f>
        <v>Углерода оксид</v>
      </c>
      <c r="E395" s="702" t="str">
        <f>'20 въезд-выезд авто'!AF100</f>
        <v>0337</v>
      </c>
      <c r="F395" s="638"/>
      <c r="G395" s="638"/>
      <c r="H395" s="638">
        <f>'20 въезд-выезд авто'!AG100</f>
        <v>3.0300000000000001E-2</v>
      </c>
      <c r="I395" s="638">
        <f>'20 въезд-выезд авто'!AH100</f>
        <v>1.9400000000000001E-2</v>
      </c>
      <c r="J395" s="638">
        <f>'20 въезд-выезд авто'!AG100</f>
        <v>3.0300000000000001E-2</v>
      </c>
      <c r="K395" s="638">
        <f>'20 въезд-выезд авто'!AH100</f>
        <v>1.9400000000000001E-2</v>
      </c>
      <c r="L395" s="638">
        <f>'20 въезд-выезд авто'!AG100</f>
        <v>3.0300000000000001E-2</v>
      </c>
      <c r="M395" s="638">
        <f>'20 въезд-выезд авто'!AH100</f>
        <v>1.9400000000000001E-2</v>
      </c>
      <c r="N395" s="638">
        <f>'20 въезд-выезд авто'!AG100</f>
        <v>3.0300000000000001E-2</v>
      </c>
      <c r="O395" s="638">
        <f>'20 въезд-выезд авто'!AH100</f>
        <v>1.9400000000000001E-2</v>
      </c>
    </row>
    <row r="396" spans="2:15" x14ac:dyDescent="0.25">
      <c r="B396" s="999"/>
      <c r="C396" s="529"/>
      <c r="D396" s="640" t="str">
        <f>'20 въезд-выезд авто'!AE101</f>
        <v>Углерод</v>
      </c>
      <c r="E396" s="703" t="str">
        <f>'20 въезд-выезд авто'!AF101</f>
        <v>0328</v>
      </c>
      <c r="F396" s="645"/>
      <c r="G396" s="645"/>
      <c r="H396" s="645">
        <f>'20 въезд-выезд авто'!AG101</f>
        <v>5.0000000000000001E-4</v>
      </c>
      <c r="I396" s="645">
        <f>'20 въезд-выезд авто'!AH101</f>
        <v>2.4000000000000001E-4</v>
      </c>
      <c r="J396" s="645">
        <f>'20 въезд-выезд авто'!AG101</f>
        <v>5.0000000000000001E-4</v>
      </c>
      <c r="K396" s="645">
        <f>'20 въезд-выезд авто'!AH101</f>
        <v>2.4000000000000001E-4</v>
      </c>
      <c r="L396" s="645">
        <f>'20 въезд-выезд авто'!AG101</f>
        <v>5.0000000000000001E-4</v>
      </c>
      <c r="M396" s="645">
        <f>'20 въезд-выезд авто'!AH101</f>
        <v>2.4000000000000001E-4</v>
      </c>
      <c r="N396" s="645">
        <f>'20 въезд-выезд авто'!AG101</f>
        <v>5.0000000000000001E-4</v>
      </c>
      <c r="O396" s="645">
        <f>'20 въезд-выезд авто'!AH101</f>
        <v>2.4000000000000001E-4</v>
      </c>
    </row>
    <row r="397" spans="2:15" ht="16.5" customHeight="1" x14ac:dyDescent="0.25">
      <c r="B397" s="998" t="s">
        <v>313</v>
      </c>
      <c r="C397" s="525" t="s">
        <v>314</v>
      </c>
      <c r="D397" s="626" t="str">
        <f>'21 ТО и ТР'!J58</f>
        <v>Азота диоксид</v>
      </c>
      <c r="E397" s="701" t="str">
        <f>'21 ТО и ТР'!K58</f>
        <v>0301</v>
      </c>
      <c r="F397" s="631"/>
      <c r="G397" s="631"/>
      <c r="H397" s="631">
        <f>'21 ТО и ТР'!L58</f>
        <v>2.2000000000000001E-4</v>
      </c>
      <c r="I397" s="631">
        <f>'21 ТО и ТР'!M58</f>
        <v>2.0000000000000001E-4</v>
      </c>
      <c r="J397" s="631">
        <f>'21 ТО и ТР'!L58</f>
        <v>2.2000000000000001E-4</v>
      </c>
      <c r="K397" s="631">
        <f>'21 ТО и ТР'!M58</f>
        <v>2.0000000000000001E-4</v>
      </c>
      <c r="L397" s="631">
        <f>'21 ТО и ТР'!L58</f>
        <v>2.2000000000000001E-4</v>
      </c>
      <c r="M397" s="631">
        <f>'21 ТО и ТР'!M58</f>
        <v>2.0000000000000001E-4</v>
      </c>
      <c r="N397" s="631">
        <f>'21 ТО и ТР'!L58</f>
        <v>2.2000000000000001E-4</v>
      </c>
      <c r="O397" s="631">
        <f>'21 ТО и ТР'!M58</f>
        <v>2.0000000000000001E-4</v>
      </c>
    </row>
    <row r="398" spans="2:15" x14ac:dyDescent="0.25">
      <c r="B398" s="999"/>
      <c r="C398" s="528"/>
      <c r="D398" s="633" t="str">
        <f>'21 ТО и ТР'!J59</f>
        <v>Азота оксид</v>
      </c>
      <c r="E398" s="702" t="str">
        <f>'21 ТО и ТР'!K59</f>
        <v>0304</v>
      </c>
      <c r="F398" s="638"/>
      <c r="G398" s="638"/>
      <c r="H398" s="638">
        <f>'21 ТО и ТР'!L59</f>
        <v>4.0000000000000003E-5</v>
      </c>
      <c r="I398" s="638">
        <f>'21 ТО и ТР'!M59</f>
        <v>4.0000000000000003E-5</v>
      </c>
      <c r="J398" s="638">
        <f>'21 ТО и ТР'!L59</f>
        <v>4.0000000000000003E-5</v>
      </c>
      <c r="K398" s="638">
        <f>'21 ТО и ТР'!M59</f>
        <v>4.0000000000000003E-5</v>
      </c>
      <c r="L398" s="638">
        <f>'21 ТО и ТР'!L59</f>
        <v>4.0000000000000003E-5</v>
      </c>
      <c r="M398" s="638">
        <f>'21 ТО и ТР'!M59</f>
        <v>4.0000000000000003E-5</v>
      </c>
      <c r="N398" s="638">
        <f>'21 ТО и ТР'!L59</f>
        <v>4.0000000000000003E-5</v>
      </c>
      <c r="O398" s="638">
        <f>'21 ТО и ТР'!M59</f>
        <v>4.0000000000000003E-5</v>
      </c>
    </row>
    <row r="399" spans="2:15" x14ac:dyDescent="0.25">
      <c r="B399" s="999"/>
      <c r="C399" s="528"/>
      <c r="D399" s="633" t="str">
        <f>'21 ТО и ТР'!J60</f>
        <v>Серы диоксид</v>
      </c>
      <c r="E399" s="702" t="str">
        <f>'21 ТО и ТР'!K60</f>
        <v>0330</v>
      </c>
      <c r="F399" s="638"/>
      <c r="G399" s="638"/>
      <c r="H399" s="638">
        <f>'21 ТО и ТР'!L60</f>
        <v>3.0000000000000001E-5</v>
      </c>
      <c r="I399" s="638">
        <f>'21 ТО и ТР'!M60</f>
        <v>4.0000000000000003E-5</v>
      </c>
      <c r="J399" s="638">
        <f>'21 ТО и ТР'!L60</f>
        <v>3.0000000000000001E-5</v>
      </c>
      <c r="K399" s="638">
        <f>'21 ТО и ТР'!M60</f>
        <v>4.0000000000000003E-5</v>
      </c>
      <c r="L399" s="638">
        <f>'21 ТО и ТР'!L60</f>
        <v>3.0000000000000001E-5</v>
      </c>
      <c r="M399" s="638">
        <f>'21 ТО и ТР'!M60</f>
        <v>4.0000000000000003E-5</v>
      </c>
      <c r="N399" s="638">
        <f>'21 ТО и ТР'!L60</f>
        <v>3.0000000000000001E-5</v>
      </c>
      <c r="O399" s="638">
        <f>'21 ТО и ТР'!M60</f>
        <v>4.0000000000000003E-5</v>
      </c>
    </row>
    <row r="400" spans="2:15" x14ac:dyDescent="0.25">
      <c r="B400" s="999"/>
      <c r="C400" s="528"/>
      <c r="D400" s="633" t="str">
        <f>'21 ТО и ТР'!J61</f>
        <v>Керосин</v>
      </c>
      <c r="E400" s="702">
        <f>'21 ТО и ТР'!K61</f>
        <v>2732</v>
      </c>
      <c r="F400" s="638"/>
      <c r="G400" s="638"/>
      <c r="H400" s="638">
        <f>'21 ТО и ТР'!L61</f>
        <v>1E-4</v>
      </c>
      <c r="I400" s="638">
        <f>'21 ТО и ТР'!M61</f>
        <v>1.2E-4</v>
      </c>
      <c r="J400" s="638">
        <f>'21 ТО и ТР'!L61</f>
        <v>1E-4</v>
      </c>
      <c r="K400" s="638">
        <f>'21 ТО и ТР'!M61</f>
        <v>1.2E-4</v>
      </c>
      <c r="L400" s="638">
        <f>'21 ТО и ТР'!L61</f>
        <v>1E-4</v>
      </c>
      <c r="M400" s="638">
        <f>'21 ТО и ТР'!M61</f>
        <v>1.2E-4</v>
      </c>
      <c r="N400" s="638">
        <f>'21 ТО и ТР'!L61</f>
        <v>1E-4</v>
      </c>
      <c r="O400" s="638">
        <f>'21 ТО и ТР'!M61</f>
        <v>1.2E-4</v>
      </c>
    </row>
    <row r="401" spans="2:15" x14ac:dyDescent="0.25">
      <c r="B401" s="999"/>
      <c r="C401" s="528"/>
      <c r="D401" s="633" t="str">
        <f>'21 ТО и ТР'!J62</f>
        <v xml:space="preserve">Углерод </v>
      </c>
      <c r="E401" s="702" t="str">
        <f>'21 ТО и ТР'!K62</f>
        <v>0328</v>
      </c>
      <c r="F401" s="638"/>
      <c r="G401" s="638"/>
      <c r="H401" s="638">
        <f>'21 ТО и ТР'!L62</f>
        <v>1.0000000000000001E-5</v>
      </c>
      <c r="I401" s="638">
        <f>'21 ТО и ТР'!M62</f>
        <v>1.9000000000000001E-5</v>
      </c>
      <c r="J401" s="638">
        <f>'21 ТО и ТР'!L62</f>
        <v>1.0000000000000001E-5</v>
      </c>
      <c r="K401" s="638">
        <f>'21 ТО и ТР'!M62</f>
        <v>1.9000000000000001E-5</v>
      </c>
      <c r="L401" s="638">
        <f>'21 ТО и ТР'!L62</f>
        <v>1.0000000000000001E-5</v>
      </c>
      <c r="M401" s="638">
        <f>'21 ТО и ТР'!M62</f>
        <v>1.9000000000000001E-5</v>
      </c>
      <c r="N401" s="638">
        <f>'21 ТО и ТР'!L62</f>
        <v>1.0000000000000001E-5</v>
      </c>
      <c r="O401" s="638">
        <f>'21 ТО и ТР'!M62</f>
        <v>1.9000000000000001E-5</v>
      </c>
    </row>
    <row r="402" spans="2:15" x14ac:dyDescent="0.25">
      <c r="B402" s="999"/>
      <c r="C402" s="529"/>
      <c r="D402" s="640" t="str">
        <f>'21 ТО и ТР'!J63</f>
        <v>Углерода оксид</v>
      </c>
      <c r="E402" s="703" t="str">
        <f>'21 ТО и ТР'!K63</f>
        <v>0337</v>
      </c>
      <c r="F402" s="645"/>
      <c r="G402" s="645"/>
      <c r="H402" s="645">
        <f>'21 ТО и ТР'!L63</f>
        <v>7.2999999999999996E-4</v>
      </c>
      <c r="I402" s="645">
        <f>'21 ТО и ТР'!M63</f>
        <v>7.7999999999999999E-4</v>
      </c>
      <c r="J402" s="645">
        <f>'21 ТО и ТР'!L63</f>
        <v>7.2999999999999996E-4</v>
      </c>
      <c r="K402" s="645">
        <f>'21 ТО и ТР'!M63</f>
        <v>7.7999999999999999E-4</v>
      </c>
      <c r="L402" s="645">
        <f>'21 ТО и ТР'!L63</f>
        <v>7.2999999999999996E-4</v>
      </c>
      <c r="M402" s="645">
        <f>'21 ТО и ТР'!M63</f>
        <v>7.7999999999999999E-4</v>
      </c>
      <c r="N402" s="645">
        <f>'21 ТО и ТР'!L63</f>
        <v>7.2999999999999996E-4</v>
      </c>
      <c r="O402" s="645">
        <f>'21 ТО и ТР'!M63</f>
        <v>7.7999999999999999E-4</v>
      </c>
    </row>
    <row r="403" spans="2:15" ht="16.5" customHeight="1" x14ac:dyDescent="0.25">
      <c r="B403" s="998" t="s">
        <v>545</v>
      </c>
      <c r="C403" s="525" t="s">
        <v>331</v>
      </c>
      <c r="D403" s="626" t="str">
        <f>'19 работа техники'!AB49</f>
        <v>Азота диоксид</v>
      </c>
      <c r="E403" s="681" t="str">
        <f>'19 работа техники'!AC49</f>
        <v>0301</v>
      </c>
      <c r="F403" s="631"/>
      <c r="G403" s="631"/>
      <c r="H403" s="631">
        <f>'19 работа техники'!AD49+'20 въезд-выезд авто'!AG103</f>
        <v>2.2400000000000003E-2</v>
      </c>
      <c r="I403" s="631">
        <f>'19 работа техники'!AE49+'20 въезд-выезд авто'!AH103</f>
        <v>0.1036</v>
      </c>
      <c r="J403" s="631">
        <f>'19 работа техники'!AD49+'20 въезд-выезд авто'!AG103</f>
        <v>2.2400000000000003E-2</v>
      </c>
      <c r="K403" s="631">
        <f>'19 работа техники'!AE49+'20 въезд-выезд авто'!AH103</f>
        <v>0.1036</v>
      </c>
      <c r="L403" s="631">
        <f>'19 работа техники'!AD49+'20 въезд-выезд авто'!AG103</f>
        <v>2.2400000000000003E-2</v>
      </c>
      <c r="M403" s="631">
        <f>'19 работа техники'!AE49+'20 въезд-выезд авто'!AH103</f>
        <v>0.1036</v>
      </c>
      <c r="N403" s="631">
        <f>'19 работа техники'!AD49+'20 въезд-выезд авто'!AG103</f>
        <v>2.2400000000000003E-2</v>
      </c>
      <c r="O403" s="631">
        <f>'19 работа техники'!AE49+'20 въезд-выезд авто'!AH103</f>
        <v>0.1036</v>
      </c>
    </row>
    <row r="404" spans="2:15" x14ac:dyDescent="0.25">
      <c r="B404" s="999"/>
      <c r="C404" s="528" t="s">
        <v>1203</v>
      </c>
      <c r="D404" s="633" t="str">
        <f>'19 работа техники'!AB50</f>
        <v>Азота оксид</v>
      </c>
      <c r="E404" s="682" t="str">
        <f>'19 работа техники'!AC50</f>
        <v>0304</v>
      </c>
      <c r="F404" s="638"/>
      <c r="G404" s="638"/>
      <c r="H404" s="638">
        <f>'19 работа техники'!AD50+'20 въезд-выезд авто'!AG104</f>
        <v>3.5999999999999999E-3</v>
      </c>
      <c r="I404" s="638">
        <f>'19 работа техники'!AE50+'20 въезд-выезд авто'!AH104</f>
        <v>1.6899999999999998E-2</v>
      </c>
      <c r="J404" s="638">
        <f>'19 работа техники'!AD50+'20 въезд-выезд авто'!AG104</f>
        <v>3.5999999999999999E-3</v>
      </c>
      <c r="K404" s="638">
        <f>'19 работа техники'!AE50+'20 въезд-выезд авто'!AH104</f>
        <v>1.6899999999999998E-2</v>
      </c>
      <c r="L404" s="638">
        <f>'19 работа техники'!AD50+'20 въезд-выезд авто'!AG104</f>
        <v>3.5999999999999999E-3</v>
      </c>
      <c r="M404" s="638">
        <f>'19 работа техники'!AE50+'20 въезд-выезд авто'!AH104</f>
        <v>1.6899999999999998E-2</v>
      </c>
      <c r="N404" s="638">
        <f>'19 работа техники'!AD50+'20 въезд-выезд авто'!AG104</f>
        <v>3.5999999999999999E-3</v>
      </c>
      <c r="O404" s="638">
        <f>'19 работа техники'!AE50+'20 въезд-выезд авто'!AH104</f>
        <v>1.6899999999999998E-2</v>
      </c>
    </row>
    <row r="405" spans="2:15" x14ac:dyDescent="0.25">
      <c r="B405" s="999"/>
      <c r="C405" s="528"/>
      <c r="D405" s="633" t="str">
        <f>'19 работа техники'!AB51</f>
        <v>Серы диоксид</v>
      </c>
      <c r="E405" s="682" t="str">
        <f>'19 работа техники'!AC51</f>
        <v>0330</v>
      </c>
      <c r="F405" s="638"/>
      <c r="G405" s="638"/>
      <c r="H405" s="638">
        <f>'19 работа техники'!AD51+'20 въезд-выезд авто'!AG105</f>
        <v>2.8E-3</v>
      </c>
      <c r="I405" s="638">
        <f>'19 работа техники'!AE51+'20 въезд-выезд авто'!AH105</f>
        <v>1.1489999999999998E-2</v>
      </c>
      <c r="J405" s="638">
        <f>'19 работа техники'!AD51+'20 въезд-выезд авто'!AG105</f>
        <v>2.8E-3</v>
      </c>
      <c r="K405" s="638">
        <f>'19 работа техники'!AE51+'20 въезд-выезд авто'!AH105</f>
        <v>1.1489999999999998E-2</v>
      </c>
      <c r="L405" s="638">
        <f>'19 работа техники'!AD51+'20 въезд-выезд авто'!AG105</f>
        <v>2.8E-3</v>
      </c>
      <c r="M405" s="638">
        <f>'19 работа техники'!AE51+'20 въезд-выезд авто'!AH105</f>
        <v>1.1489999999999998E-2</v>
      </c>
      <c r="N405" s="638">
        <f>'19 работа техники'!AD51+'20 въезд-выезд авто'!AG105</f>
        <v>2.8E-3</v>
      </c>
      <c r="O405" s="638">
        <f>'19 работа техники'!AE51+'20 въезд-выезд авто'!AH105</f>
        <v>1.1489999999999998E-2</v>
      </c>
    </row>
    <row r="406" spans="2:15" x14ac:dyDescent="0.25">
      <c r="B406" s="999"/>
      <c r="C406" s="528"/>
      <c r="D406" s="633" t="str">
        <f>'19 работа техники'!AB52</f>
        <v>Керосин</v>
      </c>
      <c r="E406" s="682" t="str">
        <f>'19 работа техники'!AC52</f>
        <v>2732</v>
      </c>
      <c r="F406" s="638"/>
      <c r="G406" s="638"/>
      <c r="H406" s="638">
        <f>'19 работа техники'!AD52+'20 въезд-выезд авто'!AG106</f>
        <v>9.2999999999999992E-3</v>
      </c>
      <c r="I406" s="638">
        <f>'19 работа техники'!AE52+'20 въезд-выезд авто'!AH106</f>
        <v>2.58E-2</v>
      </c>
      <c r="J406" s="638">
        <f>'19 работа техники'!AD52+'20 въезд-выезд авто'!AG106</f>
        <v>9.2999999999999992E-3</v>
      </c>
      <c r="K406" s="638">
        <f>'19 работа техники'!AE52+'20 въезд-выезд авто'!AH106</f>
        <v>2.58E-2</v>
      </c>
      <c r="L406" s="638">
        <f>'19 работа техники'!AD52+'20 въезд-выезд авто'!AG106</f>
        <v>9.2999999999999992E-3</v>
      </c>
      <c r="M406" s="638">
        <f>'19 работа техники'!AE52+'20 въезд-выезд авто'!AH106</f>
        <v>2.58E-2</v>
      </c>
      <c r="N406" s="638">
        <f>'19 работа техники'!AD52+'20 въезд-выезд авто'!AG106</f>
        <v>9.2999999999999992E-3</v>
      </c>
      <c r="O406" s="638">
        <f>'19 работа техники'!AE52+'20 въезд-выезд авто'!AH106</f>
        <v>2.58E-2</v>
      </c>
    </row>
    <row r="407" spans="2:15" x14ac:dyDescent="0.25">
      <c r="B407" s="999"/>
      <c r="C407" s="528"/>
      <c r="D407" s="633" t="str">
        <f>'19 работа техники'!AB53</f>
        <v xml:space="preserve">Углерод </v>
      </c>
      <c r="E407" s="682" t="str">
        <f>'19 работа техники'!AC53</f>
        <v>0328</v>
      </c>
      <c r="F407" s="638"/>
      <c r="G407" s="638"/>
      <c r="H407" s="638">
        <f>'19 работа техники'!AD53+'20 въезд-выезд авто'!AG108</f>
        <v>4.1999999999999997E-3</v>
      </c>
      <c r="I407" s="638">
        <f>'19 работа техники'!AE53+'20 въезд-выезд авто'!AH108</f>
        <v>1.6209999999999999E-2</v>
      </c>
      <c r="J407" s="638">
        <f>'19 работа техники'!AD53+'20 въезд-выезд авто'!AG108</f>
        <v>4.1999999999999997E-3</v>
      </c>
      <c r="K407" s="638">
        <f>'19 работа техники'!AE53+'20 въезд-выезд авто'!AH108</f>
        <v>1.6209999999999999E-2</v>
      </c>
      <c r="L407" s="638">
        <f>'19 работа техники'!AD53+'20 въезд-выезд авто'!AG108</f>
        <v>4.1999999999999997E-3</v>
      </c>
      <c r="M407" s="638">
        <f>'19 работа техники'!AE53+'20 въезд-выезд авто'!AH108</f>
        <v>1.6209999999999999E-2</v>
      </c>
      <c r="N407" s="638">
        <f>'19 работа техники'!AD53+'20 въезд-выезд авто'!AG108</f>
        <v>4.1999999999999997E-3</v>
      </c>
      <c r="O407" s="638">
        <f>'19 работа техники'!AE53+'20 въезд-выезд авто'!AH108</f>
        <v>1.6209999999999999E-2</v>
      </c>
    </row>
    <row r="408" spans="2:15" x14ac:dyDescent="0.25">
      <c r="B408" s="999"/>
      <c r="C408" s="529"/>
      <c r="D408" s="640" t="str">
        <f>'19 работа техники'!AB54</f>
        <v>Углерода оксид</v>
      </c>
      <c r="E408" s="660" t="str">
        <f>'19 работа техники'!AC54</f>
        <v>0337</v>
      </c>
      <c r="F408" s="645"/>
      <c r="G408" s="645"/>
      <c r="H408" s="645">
        <f>'19 работа техники'!AD54+'20 въезд-выезд авто'!AG107</f>
        <v>4.2700000000000002E-2</v>
      </c>
      <c r="I408" s="645">
        <f>'19 работа техники'!AE54+'20 въезд-выезд авто'!AH107</f>
        <v>9.4100000000000003E-2</v>
      </c>
      <c r="J408" s="645">
        <f>'19 работа техники'!AD54+'20 въезд-выезд авто'!AG107</f>
        <v>4.2700000000000002E-2</v>
      </c>
      <c r="K408" s="645">
        <f>'19 работа техники'!AE54+'20 въезд-выезд авто'!AH107</f>
        <v>9.4100000000000003E-2</v>
      </c>
      <c r="L408" s="645">
        <f>'19 работа техники'!AD54+'20 въезд-выезд авто'!AG107</f>
        <v>4.2700000000000002E-2</v>
      </c>
      <c r="M408" s="645">
        <f>'19 работа техники'!AE54+'20 въезд-выезд авто'!AH107</f>
        <v>9.4100000000000003E-2</v>
      </c>
      <c r="N408" s="645">
        <f>'19 работа техники'!AD54+'20 въезд-выезд авто'!AG107</f>
        <v>4.2700000000000002E-2</v>
      </c>
      <c r="O408" s="645">
        <f>'19 работа техники'!AE54+'20 въезд-выезд авто'!AH107</f>
        <v>9.4100000000000003E-2</v>
      </c>
    </row>
    <row r="409" spans="2:15" ht="16.5" customHeight="1" x14ac:dyDescent="0.25">
      <c r="B409" s="998" t="s">
        <v>348</v>
      </c>
      <c r="C409" s="525" t="s">
        <v>347</v>
      </c>
      <c r="D409" s="626" t="str">
        <f>'19 работа техники'!AB56</f>
        <v>Азота диоксид</v>
      </c>
      <c r="E409" s="681" t="str">
        <f>'19 работа техники'!AC56</f>
        <v>0301</v>
      </c>
      <c r="F409" s="631"/>
      <c r="G409" s="631"/>
      <c r="H409" s="631">
        <f>'19 работа техники'!AD56</f>
        <v>8.1000000000000003E-2</v>
      </c>
      <c r="I409" s="631">
        <f>'19 работа техники'!AE56</f>
        <v>0.4456</v>
      </c>
      <c r="J409" s="631">
        <f>'19 работа техники'!AD56</f>
        <v>8.1000000000000003E-2</v>
      </c>
      <c r="K409" s="631">
        <f>'19 работа техники'!AE56</f>
        <v>0.4456</v>
      </c>
      <c r="L409" s="631">
        <f>'19 работа техники'!AD56</f>
        <v>8.1000000000000003E-2</v>
      </c>
      <c r="M409" s="631">
        <f>'19 работа техники'!AE56</f>
        <v>0.4456</v>
      </c>
      <c r="N409" s="631">
        <f>'19 работа техники'!AD56</f>
        <v>8.1000000000000003E-2</v>
      </c>
      <c r="O409" s="631">
        <f>'19 работа техники'!AE56</f>
        <v>0.4456</v>
      </c>
    </row>
    <row r="410" spans="2:15" x14ac:dyDescent="0.25">
      <c r="B410" s="999"/>
      <c r="C410" s="528"/>
      <c r="D410" s="633" t="str">
        <f>'19 работа техники'!AB57</f>
        <v>Азота оксид</v>
      </c>
      <c r="E410" s="682" t="str">
        <f>'19 работа техники'!AC57</f>
        <v>0304</v>
      </c>
      <c r="F410" s="638"/>
      <c r="G410" s="638"/>
      <c r="H410" s="638">
        <f>'19 работа техники'!AD57</f>
        <v>1.32E-2</v>
      </c>
      <c r="I410" s="638">
        <f>'19 работа техники'!AE57</f>
        <v>7.2400000000000006E-2</v>
      </c>
      <c r="J410" s="638">
        <f>'19 работа техники'!AD57</f>
        <v>1.32E-2</v>
      </c>
      <c r="K410" s="638">
        <f>'19 работа техники'!AE57</f>
        <v>7.2400000000000006E-2</v>
      </c>
      <c r="L410" s="638">
        <f>'19 работа техники'!AD57</f>
        <v>1.32E-2</v>
      </c>
      <c r="M410" s="638">
        <f>'19 работа техники'!AE57</f>
        <v>7.2400000000000006E-2</v>
      </c>
      <c r="N410" s="638">
        <f>'19 работа техники'!AD57</f>
        <v>1.32E-2</v>
      </c>
      <c r="O410" s="638">
        <f>'19 работа техники'!AE57</f>
        <v>7.2400000000000006E-2</v>
      </c>
    </row>
    <row r="411" spans="2:15" x14ac:dyDescent="0.25">
      <c r="B411" s="999"/>
      <c r="C411" s="528"/>
      <c r="D411" s="633" t="str">
        <f>'19 работа техники'!AB58</f>
        <v>Серы диоксид</v>
      </c>
      <c r="E411" s="682" t="str">
        <f>'19 работа техники'!AC58</f>
        <v>0330</v>
      </c>
      <c r="F411" s="638"/>
      <c r="G411" s="638"/>
      <c r="H411" s="638">
        <f>'19 работа техники'!AD58</f>
        <v>9.2999999999999992E-3</v>
      </c>
      <c r="I411" s="638">
        <f>'19 работа техники'!AE58</f>
        <v>4.7800000000000002E-2</v>
      </c>
      <c r="J411" s="638">
        <f>'19 работа техники'!AD58</f>
        <v>9.2999999999999992E-3</v>
      </c>
      <c r="K411" s="638">
        <f>'19 работа техники'!AE58</f>
        <v>4.7800000000000002E-2</v>
      </c>
      <c r="L411" s="638">
        <f>'19 работа техники'!AD58</f>
        <v>9.2999999999999992E-3</v>
      </c>
      <c r="M411" s="638">
        <f>'19 работа техники'!AE58</f>
        <v>4.7800000000000002E-2</v>
      </c>
      <c r="N411" s="638">
        <f>'19 работа техники'!AD58</f>
        <v>9.2999999999999992E-3</v>
      </c>
      <c r="O411" s="638">
        <f>'19 работа техники'!AE58</f>
        <v>4.7800000000000002E-2</v>
      </c>
    </row>
    <row r="412" spans="2:15" x14ac:dyDescent="0.25">
      <c r="B412" s="999"/>
      <c r="C412" s="528"/>
      <c r="D412" s="633" t="str">
        <f>'19 работа техники'!AB59</f>
        <v>Керосин</v>
      </c>
      <c r="E412" s="682" t="str">
        <f>'19 работа техники'!AC59</f>
        <v>2732</v>
      </c>
      <c r="F412" s="638"/>
      <c r="G412" s="638"/>
      <c r="H412" s="638">
        <f>'19 работа техники'!AD59</f>
        <v>2.1100000000000001E-2</v>
      </c>
      <c r="I412" s="638">
        <f>'19 работа техники'!AE59</f>
        <v>0.1095</v>
      </c>
      <c r="J412" s="638">
        <f>'19 работа техники'!AD59</f>
        <v>2.1100000000000001E-2</v>
      </c>
      <c r="K412" s="638">
        <f>'19 работа техники'!AE59</f>
        <v>0.1095</v>
      </c>
      <c r="L412" s="638">
        <f>'19 работа техники'!AD59</f>
        <v>2.1100000000000001E-2</v>
      </c>
      <c r="M412" s="638">
        <f>'19 работа техники'!AE59</f>
        <v>0.1095</v>
      </c>
      <c r="N412" s="638">
        <f>'19 работа техники'!AD59</f>
        <v>2.1100000000000001E-2</v>
      </c>
      <c r="O412" s="638">
        <f>'19 работа техники'!AE59</f>
        <v>0.1095</v>
      </c>
    </row>
    <row r="413" spans="2:15" x14ac:dyDescent="0.25">
      <c r="B413" s="999"/>
      <c r="C413" s="528"/>
      <c r="D413" s="633" t="str">
        <f>'19 работа техники'!AB60</f>
        <v xml:space="preserve">Углерод </v>
      </c>
      <c r="E413" s="682" t="str">
        <f>'19 работа техники'!AC60</f>
        <v>0328</v>
      </c>
      <c r="F413" s="638"/>
      <c r="G413" s="638"/>
      <c r="H413" s="638">
        <f>'19 работа техники'!AD60</f>
        <v>1.5100000000000001E-2</v>
      </c>
      <c r="I413" s="638">
        <f>'19 работа техники'!AE60</f>
        <v>6.8900000000000003E-2</v>
      </c>
      <c r="J413" s="638">
        <f>'19 работа техники'!AD60</f>
        <v>1.5100000000000001E-2</v>
      </c>
      <c r="K413" s="638">
        <f>'19 работа техники'!AE60</f>
        <v>6.8900000000000003E-2</v>
      </c>
      <c r="L413" s="638">
        <f>'19 работа техники'!AD60</f>
        <v>1.5100000000000001E-2</v>
      </c>
      <c r="M413" s="638">
        <f>'19 работа техники'!AE60</f>
        <v>6.8900000000000003E-2</v>
      </c>
      <c r="N413" s="638">
        <f>'19 работа техники'!AD60</f>
        <v>1.5100000000000001E-2</v>
      </c>
      <c r="O413" s="638">
        <f>'19 работа техники'!AE60</f>
        <v>6.8900000000000003E-2</v>
      </c>
    </row>
    <row r="414" spans="2:15" x14ac:dyDescent="0.25">
      <c r="B414" s="999"/>
      <c r="C414" s="529"/>
      <c r="D414" s="640" t="str">
        <f>'19 работа техники'!AB61</f>
        <v>Углерода оксид</v>
      </c>
      <c r="E414" s="660" t="str">
        <f>'19 работа техники'!AC61</f>
        <v>0337</v>
      </c>
      <c r="F414" s="645"/>
      <c r="G414" s="645"/>
      <c r="H414" s="645">
        <f>'19 работа техники'!AD61</f>
        <v>7.6499999999999999E-2</v>
      </c>
      <c r="I414" s="645">
        <f>'19 работа техники'!AE61</f>
        <v>0.38400000000000001</v>
      </c>
      <c r="J414" s="645">
        <f>'19 работа техники'!AD61</f>
        <v>7.6499999999999999E-2</v>
      </c>
      <c r="K414" s="645">
        <f>'19 работа техники'!AE61</f>
        <v>0.38400000000000001</v>
      </c>
      <c r="L414" s="645">
        <f>'19 работа техники'!AD61</f>
        <v>7.6499999999999999E-2</v>
      </c>
      <c r="M414" s="645">
        <f>'19 работа техники'!AE61</f>
        <v>0.38400000000000001</v>
      </c>
      <c r="N414" s="645">
        <f>'19 работа техники'!AD61</f>
        <v>7.6499999999999999E-2</v>
      </c>
      <c r="O414" s="645">
        <f>'19 работа техники'!AE61</f>
        <v>0.38400000000000001</v>
      </c>
    </row>
    <row r="415" spans="2:15" ht="16.5" customHeight="1" x14ac:dyDescent="0.25">
      <c r="B415" s="998" t="s">
        <v>546</v>
      </c>
      <c r="C415" s="525" t="s">
        <v>349</v>
      </c>
      <c r="D415" s="626" t="str">
        <f>'19 работа техники'!AB63</f>
        <v>Азота диоксид</v>
      </c>
      <c r="E415" s="681" t="str">
        <f>'19 работа техники'!AC63</f>
        <v>0301</v>
      </c>
      <c r="F415" s="631"/>
      <c r="G415" s="631"/>
      <c r="H415" s="631">
        <f>'19 работа техники'!AD63</f>
        <v>1.8700000000000001E-2</v>
      </c>
      <c r="I415" s="631">
        <f>'19 работа техники'!AE63</f>
        <v>0.1026</v>
      </c>
      <c r="J415" s="631">
        <f>'19 работа техники'!AD63</f>
        <v>1.8700000000000001E-2</v>
      </c>
      <c r="K415" s="631">
        <f>'19 работа техники'!AE63</f>
        <v>0.1026</v>
      </c>
      <c r="L415" s="631">
        <f>'19 работа техники'!AD63</f>
        <v>1.8700000000000001E-2</v>
      </c>
      <c r="M415" s="631">
        <f>'19 работа техники'!AE63</f>
        <v>0.1026</v>
      </c>
      <c r="N415" s="631">
        <f>'19 работа техники'!AD63</f>
        <v>1.8700000000000001E-2</v>
      </c>
      <c r="O415" s="631">
        <f>'19 работа техники'!AE63</f>
        <v>0.1026</v>
      </c>
    </row>
    <row r="416" spans="2:15" x14ac:dyDescent="0.25">
      <c r="B416" s="999"/>
      <c r="C416" s="528"/>
      <c r="D416" s="633" t="str">
        <f>'19 работа техники'!AB64</f>
        <v>Азота оксид</v>
      </c>
      <c r="E416" s="682" t="str">
        <f>'19 работа техники'!AC64</f>
        <v>0304</v>
      </c>
      <c r="F416" s="638"/>
      <c r="G416" s="638"/>
      <c r="H416" s="638">
        <f>'19 работа техники'!AD64</f>
        <v>3.0000000000000001E-3</v>
      </c>
      <c r="I416" s="638">
        <f>'19 работа техники'!AE64</f>
        <v>1.67E-2</v>
      </c>
      <c r="J416" s="638">
        <f>'19 работа техники'!AD64</f>
        <v>3.0000000000000001E-3</v>
      </c>
      <c r="K416" s="638">
        <f>'19 работа техники'!AE64</f>
        <v>1.67E-2</v>
      </c>
      <c r="L416" s="638">
        <f>'19 работа техники'!AD64</f>
        <v>3.0000000000000001E-3</v>
      </c>
      <c r="M416" s="638">
        <f>'19 работа техники'!AE64</f>
        <v>1.67E-2</v>
      </c>
      <c r="N416" s="638">
        <f>'19 работа техники'!AD64</f>
        <v>3.0000000000000001E-3</v>
      </c>
      <c r="O416" s="638">
        <f>'19 работа техники'!AE64</f>
        <v>1.67E-2</v>
      </c>
    </row>
    <row r="417" spans="2:15" x14ac:dyDescent="0.25">
      <c r="B417" s="999"/>
      <c r="C417" s="528"/>
      <c r="D417" s="633" t="str">
        <f>'19 работа техники'!AB65</f>
        <v>Серы диоксид</v>
      </c>
      <c r="E417" s="682" t="str">
        <f>'19 работа техники'!AC65</f>
        <v>0330</v>
      </c>
      <c r="F417" s="638"/>
      <c r="G417" s="638"/>
      <c r="H417" s="638">
        <f>'19 работа техники'!AD65</f>
        <v>2.2000000000000001E-3</v>
      </c>
      <c r="I417" s="638">
        <f>'19 работа техники'!AE65</f>
        <v>1.1299999999999999E-2</v>
      </c>
      <c r="J417" s="638">
        <f>'19 работа техники'!AD65</f>
        <v>2.2000000000000001E-3</v>
      </c>
      <c r="K417" s="638">
        <f>'19 работа техники'!AE65</f>
        <v>1.1299999999999999E-2</v>
      </c>
      <c r="L417" s="638">
        <f>'19 работа техники'!AD65</f>
        <v>2.2000000000000001E-3</v>
      </c>
      <c r="M417" s="638">
        <f>'19 работа техники'!AE65</f>
        <v>1.1299999999999999E-2</v>
      </c>
      <c r="N417" s="638">
        <f>'19 работа техники'!AD65</f>
        <v>2.2000000000000001E-3</v>
      </c>
      <c r="O417" s="638">
        <f>'19 работа техники'!AE65</f>
        <v>1.1299999999999999E-2</v>
      </c>
    </row>
    <row r="418" spans="2:15" x14ac:dyDescent="0.25">
      <c r="B418" s="999"/>
      <c r="C418" s="528"/>
      <c r="D418" s="633" t="str">
        <f>'19 работа техники'!AB66</f>
        <v>Керосин</v>
      </c>
      <c r="E418" s="682" t="str">
        <f>'19 работа техники'!AC66</f>
        <v>2732</v>
      </c>
      <c r="F418" s="638"/>
      <c r="G418" s="638"/>
      <c r="H418" s="638">
        <f>'19 работа техники'!AD66</f>
        <v>4.7999999999999996E-3</v>
      </c>
      <c r="I418" s="638">
        <f>'19 работа техники'!AE66</f>
        <v>2.4899999999999999E-2</v>
      </c>
      <c r="J418" s="638">
        <f>'19 работа техники'!AD66</f>
        <v>4.7999999999999996E-3</v>
      </c>
      <c r="K418" s="638">
        <f>'19 работа техники'!AE66</f>
        <v>2.4899999999999999E-2</v>
      </c>
      <c r="L418" s="638">
        <f>'19 работа техники'!AD66</f>
        <v>4.7999999999999996E-3</v>
      </c>
      <c r="M418" s="638">
        <f>'19 работа техники'!AE66</f>
        <v>2.4899999999999999E-2</v>
      </c>
      <c r="N418" s="638">
        <f>'19 работа техники'!AD66</f>
        <v>4.7999999999999996E-3</v>
      </c>
      <c r="O418" s="638">
        <f>'19 работа техники'!AE66</f>
        <v>2.4899999999999999E-2</v>
      </c>
    </row>
    <row r="419" spans="2:15" x14ac:dyDescent="0.25">
      <c r="B419" s="999"/>
      <c r="C419" s="528"/>
      <c r="D419" s="633" t="str">
        <f>'19 работа техники'!AB67</f>
        <v xml:space="preserve">Углерод </v>
      </c>
      <c r="E419" s="682" t="str">
        <f>'19 работа техники'!AC67</f>
        <v>0328</v>
      </c>
      <c r="F419" s="638"/>
      <c r="G419" s="638"/>
      <c r="H419" s="638">
        <f>'19 работа техники'!AD67</f>
        <v>3.5000000000000001E-3</v>
      </c>
      <c r="I419" s="638">
        <f>'19 работа техники'!AE67</f>
        <v>1.61E-2</v>
      </c>
      <c r="J419" s="638">
        <f>'19 работа техники'!AD67</f>
        <v>3.5000000000000001E-3</v>
      </c>
      <c r="K419" s="638">
        <f>'19 работа техники'!AE67</f>
        <v>1.61E-2</v>
      </c>
      <c r="L419" s="638">
        <f>'19 работа техники'!AD67</f>
        <v>3.5000000000000001E-3</v>
      </c>
      <c r="M419" s="638">
        <f>'19 работа техники'!AE67</f>
        <v>1.61E-2</v>
      </c>
      <c r="N419" s="638">
        <f>'19 работа техники'!AD67</f>
        <v>3.5000000000000001E-3</v>
      </c>
      <c r="O419" s="638">
        <f>'19 работа техники'!AE67</f>
        <v>1.61E-2</v>
      </c>
    </row>
    <row r="420" spans="2:15" x14ac:dyDescent="0.25">
      <c r="B420" s="999"/>
      <c r="C420" s="529"/>
      <c r="D420" s="640" t="str">
        <f>'19 работа техники'!AB68</f>
        <v>Углерода оксид</v>
      </c>
      <c r="E420" s="660" t="str">
        <f>'19 работа техники'!AC68</f>
        <v>0337</v>
      </c>
      <c r="F420" s="645"/>
      <c r="G420" s="645"/>
      <c r="H420" s="645">
        <f>'19 работа техники'!AD68</f>
        <v>1.7500000000000002E-2</v>
      </c>
      <c r="I420" s="645">
        <f>'19 работа техники'!AE68</f>
        <v>8.7800000000000003E-2</v>
      </c>
      <c r="J420" s="645">
        <f>'19 работа техники'!AD68</f>
        <v>1.7500000000000002E-2</v>
      </c>
      <c r="K420" s="645">
        <f>'19 работа техники'!AE68</f>
        <v>8.7800000000000003E-2</v>
      </c>
      <c r="L420" s="645">
        <f>'19 работа техники'!AD68</f>
        <v>1.7500000000000002E-2</v>
      </c>
      <c r="M420" s="645">
        <f>'19 работа техники'!AE68</f>
        <v>8.7800000000000003E-2</v>
      </c>
      <c r="N420" s="645">
        <f>'19 работа техники'!AD68</f>
        <v>1.7500000000000002E-2</v>
      </c>
      <c r="O420" s="645">
        <f>'19 работа техники'!AE68</f>
        <v>8.7800000000000003E-2</v>
      </c>
    </row>
    <row r="421" spans="2:15" ht="16.5" customHeight="1" x14ac:dyDescent="0.25">
      <c r="B421" s="998" t="s">
        <v>547</v>
      </c>
      <c r="C421" s="525" t="s">
        <v>350</v>
      </c>
      <c r="D421" s="626" t="str">
        <f>'19 работа техники'!AB70</f>
        <v>Азота диоксид</v>
      </c>
      <c r="E421" s="681" t="str">
        <f>'19 работа техники'!AC70</f>
        <v>0301</v>
      </c>
      <c r="F421" s="631"/>
      <c r="G421" s="631"/>
      <c r="H421" s="631">
        <f>'19 работа техники'!AD70+'20 въезд-выезд авто'!AG110</f>
        <v>2.2400000000000003E-2</v>
      </c>
      <c r="I421" s="631">
        <f>'19 работа техники'!AE70+'20 въезд-выезд авто'!AH110</f>
        <v>0.1036</v>
      </c>
      <c r="J421" s="631">
        <f>'19 работа техники'!AD70+'20 въезд-выезд авто'!AG110</f>
        <v>2.2400000000000003E-2</v>
      </c>
      <c r="K421" s="631">
        <f>'19 работа техники'!AE70+'20 въезд-выезд авто'!AH110</f>
        <v>0.1036</v>
      </c>
      <c r="L421" s="631">
        <f>'19 работа техники'!AD70+'20 въезд-выезд авто'!AG110</f>
        <v>2.2400000000000003E-2</v>
      </c>
      <c r="M421" s="631">
        <f>'19 работа техники'!AE70+'20 въезд-выезд авто'!AH110</f>
        <v>0.1036</v>
      </c>
      <c r="N421" s="631">
        <f>'19 работа техники'!AD70+'20 въезд-выезд авто'!AG110</f>
        <v>2.2400000000000003E-2</v>
      </c>
      <c r="O421" s="631">
        <f>'19 работа техники'!AE70+'20 въезд-выезд авто'!AH110</f>
        <v>0.1036</v>
      </c>
    </row>
    <row r="422" spans="2:15" x14ac:dyDescent="0.25">
      <c r="B422" s="999"/>
      <c r="C422" s="528" t="s">
        <v>1203</v>
      </c>
      <c r="D422" s="633" t="str">
        <f>'19 работа техники'!AB71</f>
        <v>Азота оксид</v>
      </c>
      <c r="E422" s="682" t="str">
        <f>'19 работа техники'!AC71</f>
        <v>0304</v>
      </c>
      <c r="F422" s="638"/>
      <c r="G422" s="638"/>
      <c r="H422" s="638">
        <f>'19 работа техники'!AD71+'20 въезд-выезд авто'!AG111</f>
        <v>3.5999999999999999E-3</v>
      </c>
      <c r="I422" s="638">
        <f>'19 работа техники'!AE71+'20 въезд-выезд авто'!AH111</f>
        <v>1.6899999999999998E-2</v>
      </c>
      <c r="J422" s="638">
        <f>'19 работа техники'!AD71+'20 въезд-выезд авто'!AG111</f>
        <v>3.5999999999999999E-3</v>
      </c>
      <c r="K422" s="638">
        <f>'19 работа техники'!AE71+'20 въезд-выезд авто'!AH111</f>
        <v>1.6899999999999998E-2</v>
      </c>
      <c r="L422" s="638">
        <f>'19 работа техники'!AD71+'20 въезд-выезд авто'!AG111</f>
        <v>3.5999999999999999E-3</v>
      </c>
      <c r="M422" s="638">
        <f>'19 работа техники'!AE71+'20 въезд-выезд авто'!AH111</f>
        <v>1.6899999999999998E-2</v>
      </c>
      <c r="N422" s="638">
        <f>'19 работа техники'!AD71+'20 въезд-выезд авто'!AG111</f>
        <v>3.5999999999999999E-3</v>
      </c>
      <c r="O422" s="638">
        <f>'19 работа техники'!AE71+'20 въезд-выезд авто'!AH111</f>
        <v>1.6899999999999998E-2</v>
      </c>
    </row>
    <row r="423" spans="2:15" x14ac:dyDescent="0.25">
      <c r="B423" s="999"/>
      <c r="C423" s="528"/>
      <c r="D423" s="633" t="str">
        <f>'19 работа техники'!AB72</f>
        <v>Серы диоксид</v>
      </c>
      <c r="E423" s="682" t="str">
        <f>'19 работа техники'!AC72</f>
        <v>0330</v>
      </c>
      <c r="F423" s="638"/>
      <c r="G423" s="638"/>
      <c r="H423" s="638">
        <f>'19 работа техники'!AD72+'20 въезд-выезд авто'!AG112</f>
        <v>2.8E-3</v>
      </c>
      <c r="I423" s="638">
        <f>'19 работа техники'!AE72+'20 въезд-выезд авто'!AH112</f>
        <v>1.1489999999999998E-2</v>
      </c>
      <c r="J423" s="638">
        <f>'19 работа техники'!AD72+'20 въезд-выезд авто'!AG112</f>
        <v>2.8E-3</v>
      </c>
      <c r="K423" s="638">
        <f>'19 работа техники'!AE72+'20 въезд-выезд авто'!AH112</f>
        <v>1.1489999999999998E-2</v>
      </c>
      <c r="L423" s="638">
        <f>'19 работа техники'!AD72+'20 въезд-выезд авто'!AG112</f>
        <v>2.8E-3</v>
      </c>
      <c r="M423" s="638">
        <f>'19 работа техники'!AE72+'20 въезд-выезд авто'!AH112</f>
        <v>1.1489999999999998E-2</v>
      </c>
      <c r="N423" s="638">
        <f>'19 работа техники'!AD72+'20 въезд-выезд авто'!AG112</f>
        <v>2.8E-3</v>
      </c>
      <c r="O423" s="638">
        <f>'19 работа техники'!AE72+'20 въезд-выезд авто'!AH112</f>
        <v>1.1489999999999998E-2</v>
      </c>
    </row>
    <row r="424" spans="2:15" x14ac:dyDescent="0.25">
      <c r="B424" s="999"/>
      <c r="C424" s="528"/>
      <c r="D424" s="633" t="str">
        <f>'19 работа техники'!AB73</f>
        <v>Керосин</v>
      </c>
      <c r="E424" s="682" t="str">
        <f>'19 работа техники'!AC73</f>
        <v>2732</v>
      </c>
      <c r="F424" s="638"/>
      <c r="G424" s="638"/>
      <c r="H424" s="638">
        <f>'19 работа техники'!AD73+'20 въезд-выезд авто'!AG113</f>
        <v>9.2999999999999992E-3</v>
      </c>
      <c r="I424" s="638">
        <f>'19 работа техники'!AE73+'20 въезд-выезд авто'!AH113</f>
        <v>2.58E-2</v>
      </c>
      <c r="J424" s="638">
        <f>'19 работа техники'!AD73+'20 въезд-выезд авто'!AG113</f>
        <v>9.2999999999999992E-3</v>
      </c>
      <c r="K424" s="638">
        <f>'19 работа техники'!AE73+'20 въезд-выезд авто'!AH113</f>
        <v>2.58E-2</v>
      </c>
      <c r="L424" s="638">
        <f>'19 работа техники'!AD73+'20 въезд-выезд авто'!AG113</f>
        <v>9.2999999999999992E-3</v>
      </c>
      <c r="M424" s="638">
        <f>'19 работа техники'!AE73+'20 въезд-выезд авто'!AH113</f>
        <v>2.58E-2</v>
      </c>
      <c r="N424" s="638">
        <f>'19 работа техники'!AD73+'20 въезд-выезд авто'!AG113</f>
        <v>9.2999999999999992E-3</v>
      </c>
      <c r="O424" s="638">
        <f>'19 работа техники'!AE73+'20 въезд-выезд авто'!AH113</f>
        <v>2.58E-2</v>
      </c>
    </row>
    <row r="425" spans="2:15" x14ac:dyDescent="0.25">
      <c r="B425" s="999"/>
      <c r="C425" s="528"/>
      <c r="D425" s="633" t="str">
        <f>'19 работа техники'!AB74</f>
        <v xml:space="preserve">Углерод </v>
      </c>
      <c r="E425" s="682" t="str">
        <f>'19 работа техники'!AC74</f>
        <v>0328</v>
      </c>
      <c r="F425" s="638"/>
      <c r="G425" s="638"/>
      <c r="H425" s="638">
        <f>'19 работа техники'!AD74+'20 въезд-выезд авто'!AG115</f>
        <v>4.1999999999999997E-3</v>
      </c>
      <c r="I425" s="638">
        <f>'19 работа техники'!AE74+'20 въезд-выезд авто'!AH115</f>
        <v>1.6209999999999999E-2</v>
      </c>
      <c r="J425" s="638">
        <f>'19 работа техники'!AD74+'20 въезд-выезд авто'!AG115</f>
        <v>4.1999999999999997E-3</v>
      </c>
      <c r="K425" s="638">
        <f>'19 работа техники'!AE74+'20 въезд-выезд авто'!AH115</f>
        <v>1.6209999999999999E-2</v>
      </c>
      <c r="L425" s="638">
        <f>'19 работа техники'!AD74+'20 въезд-выезд авто'!AG115</f>
        <v>4.1999999999999997E-3</v>
      </c>
      <c r="M425" s="638">
        <f>'19 работа техники'!AE74+'20 въезд-выезд авто'!AH115</f>
        <v>1.6209999999999999E-2</v>
      </c>
      <c r="N425" s="638">
        <f>'19 работа техники'!AD74+'20 въезд-выезд авто'!AG115</f>
        <v>4.1999999999999997E-3</v>
      </c>
      <c r="O425" s="638">
        <f>'19 работа техники'!AE74+'20 въезд-выезд авто'!AH115</f>
        <v>1.6209999999999999E-2</v>
      </c>
    </row>
    <row r="426" spans="2:15" x14ac:dyDescent="0.25">
      <c r="B426" s="999"/>
      <c r="C426" s="529"/>
      <c r="D426" s="640" t="str">
        <f>'19 работа техники'!AB75</f>
        <v>Углерода оксид</v>
      </c>
      <c r="E426" s="660" t="str">
        <f>'19 работа техники'!AC75</f>
        <v>0337</v>
      </c>
      <c r="F426" s="645"/>
      <c r="G426" s="645"/>
      <c r="H426" s="645">
        <f>'19 работа техники'!AD75+'20 въезд-выезд авто'!AG114</f>
        <v>4.2700000000000002E-2</v>
      </c>
      <c r="I426" s="645">
        <f>'19 работа техники'!AE75+'20 въезд-выезд авто'!AH114</f>
        <v>9.4100000000000003E-2</v>
      </c>
      <c r="J426" s="645">
        <f>'19 работа техники'!AD75+'20 въезд-выезд авто'!AG114</f>
        <v>4.2700000000000002E-2</v>
      </c>
      <c r="K426" s="645">
        <f>'19 работа техники'!AE75+'20 въезд-выезд авто'!AH114</f>
        <v>9.4100000000000003E-2</v>
      </c>
      <c r="L426" s="645">
        <f>'19 работа техники'!AD75+'20 въезд-выезд авто'!AG114</f>
        <v>4.2700000000000002E-2</v>
      </c>
      <c r="M426" s="645">
        <f>'19 работа техники'!AE75+'20 въезд-выезд авто'!AH114</f>
        <v>9.4100000000000003E-2</v>
      </c>
      <c r="N426" s="645">
        <f>'19 работа техники'!AD75+'20 въезд-выезд авто'!AG114</f>
        <v>4.2700000000000002E-2</v>
      </c>
      <c r="O426" s="645">
        <f>'19 работа техники'!AE75+'20 въезд-выезд авто'!AH114</f>
        <v>9.4100000000000003E-2</v>
      </c>
    </row>
    <row r="427" spans="2:15" ht="16.5" customHeight="1" x14ac:dyDescent="0.25">
      <c r="B427" s="998" t="s">
        <v>351</v>
      </c>
      <c r="C427" s="525" t="s">
        <v>352</v>
      </c>
      <c r="D427" s="626" t="str">
        <f>'19 работа техники'!AB77</f>
        <v>Азота диоксид</v>
      </c>
      <c r="E427" s="681" t="str">
        <f>'19 работа техники'!AC77</f>
        <v>0301</v>
      </c>
      <c r="F427" s="631"/>
      <c r="G427" s="631"/>
      <c r="H427" s="631">
        <f>'19 работа техники'!AD77</f>
        <v>8.1000000000000003E-2</v>
      </c>
      <c r="I427" s="631">
        <f>'19 работа техники'!AE77</f>
        <v>0.4456</v>
      </c>
      <c r="J427" s="631">
        <f>'19 работа техники'!AD77</f>
        <v>8.1000000000000003E-2</v>
      </c>
      <c r="K427" s="631">
        <f>'19 работа техники'!AE77</f>
        <v>0.4456</v>
      </c>
      <c r="L427" s="631">
        <f>'19 работа техники'!AD77</f>
        <v>8.1000000000000003E-2</v>
      </c>
      <c r="M427" s="631">
        <f>'19 работа техники'!AE77</f>
        <v>0.4456</v>
      </c>
      <c r="N427" s="631">
        <f>'19 работа техники'!AD77</f>
        <v>8.1000000000000003E-2</v>
      </c>
      <c r="O427" s="631">
        <f>'19 работа техники'!AE77</f>
        <v>0.4456</v>
      </c>
    </row>
    <row r="428" spans="2:15" x14ac:dyDescent="0.25">
      <c r="B428" s="999"/>
      <c r="C428" s="528"/>
      <c r="D428" s="633" t="str">
        <f>'19 работа техники'!AB78</f>
        <v>Азота оксид</v>
      </c>
      <c r="E428" s="682" t="str">
        <f>'19 работа техники'!AC78</f>
        <v>0304</v>
      </c>
      <c r="F428" s="638"/>
      <c r="G428" s="638"/>
      <c r="H428" s="638">
        <f>'19 работа техники'!AD78</f>
        <v>1.32E-2</v>
      </c>
      <c r="I428" s="638">
        <f>'19 работа техники'!AE78</f>
        <v>7.2400000000000006E-2</v>
      </c>
      <c r="J428" s="638">
        <f>'19 работа техники'!AD78</f>
        <v>1.32E-2</v>
      </c>
      <c r="K428" s="638">
        <f>'19 работа техники'!AE78</f>
        <v>7.2400000000000006E-2</v>
      </c>
      <c r="L428" s="638">
        <f>'19 работа техники'!AD78</f>
        <v>1.32E-2</v>
      </c>
      <c r="M428" s="638">
        <f>'19 работа техники'!AE78</f>
        <v>7.2400000000000006E-2</v>
      </c>
      <c r="N428" s="638">
        <f>'19 работа техники'!AD78</f>
        <v>1.32E-2</v>
      </c>
      <c r="O428" s="638">
        <f>'19 работа техники'!AE78</f>
        <v>7.2400000000000006E-2</v>
      </c>
    </row>
    <row r="429" spans="2:15" x14ac:dyDescent="0.25">
      <c r="B429" s="999"/>
      <c r="C429" s="528"/>
      <c r="D429" s="633" t="str">
        <f>'19 работа техники'!AB79</f>
        <v>Серы диоксид</v>
      </c>
      <c r="E429" s="682" t="str">
        <f>'19 работа техники'!AC79</f>
        <v>0330</v>
      </c>
      <c r="F429" s="638"/>
      <c r="G429" s="638"/>
      <c r="H429" s="638">
        <f>'19 работа техники'!AD79</f>
        <v>9.2999999999999992E-3</v>
      </c>
      <c r="I429" s="638">
        <f>'19 работа техники'!AE79</f>
        <v>4.7800000000000002E-2</v>
      </c>
      <c r="J429" s="638">
        <f>'19 работа техники'!AD79</f>
        <v>9.2999999999999992E-3</v>
      </c>
      <c r="K429" s="638">
        <f>'19 работа техники'!AE79</f>
        <v>4.7800000000000002E-2</v>
      </c>
      <c r="L429" s="638">
        <f>'19 работа техники'!AD79</f>
        <v>9.2999999999999992E-3</v>
      </c>
      <c r="M429" s="638">
        <f>'19 работа техники'!AE79</f>
        <v>4.7800000000000002E-2</v>
      </c>
      <c r="N429" s="638">
        <f>'19 работа техники'!AD79</f>
        <v>9.2999999999999992E-3</v>
      </c>
      <c r="O429" s="638">
        <f>'19 работа техники'!AE79</f>
        <v>4.7800000000000002E-2</v>
      </c>
    </row>
    <row r="430" spans="2:15" x14ac:dyDescent="0.25">
      <c r="B430" s="999"/>
      <c r="C430" s="528"/>
      <c r="D430" s="633" t="str">
        <f>'19 работа техники'!AB80</f>
        <v>Керосин</v>
      </c>
      <c r="E430" s="682" t="str">
        <f>'19 работа техники'!AC80</f>
        <v>2732</v>
      </c>
      <c r="F430" s="638"/>
      <c r="G430" s="638"/>
      <c r="H430" s="638">
        <f>'19 работа техники'!AD80</f>
        <v>2.1100000000000001E-2</v>
      </c>
      <c r="I430" s="638">
        <f>'19 работа техники'!AE80</f>
        <v>0.1095</v>
      </c>
      <c r="J430" s="638">
        <f>'19 работа техники'!AD80</f>
        <v>2.1100000000000001E-2</v>
      </c>
      <c r="K430" s="638">
        <f>'19 работа техники'!AE80</f>
        <v>0.1095</v>
      </c>
      <c r="L430" s="638">
        <f>'19 работа техники'!AD80</f>
        <v>2.1100000000000001E-2</v>
      </c>
      <c r="M430" s="638">
        <f>'19 работа техники'!AE80</f>
        <v>0.1095</v>
      </c>
      <c r="N430" s="638">
        <f>'19 работа техники'!AD80</f>
        <v>2.1100000000000001E-2</v>
      </c>
      <c r="O430" s="638">
        <f>'19 работа техники'!AE80</f>
        <v>0.1095</v>
      </c>
    </row>
    <row r="431" spans="2:15" x14ac:dyDescent="0.25">
      <c r="B431" s="999"/>
      <c r="C431" s="528"/>
      <c r="D431" s="633" t="str">
        <f>'19 работа техники'!AB81</f>
        <v xml:space="preserve">Углерод </v>
      </c>
      <c r="E431" s="682" t="str">
        <f>'19 работа техники'!AC81</f>
        <v>0328</v>
      </c>
      <c r="F431" s="638"/>
      <c r="G431" s="638"/>
      <c r="H431" s="638">
        <f>'19 работа техники'!AD81</f>
        <v>1.5100000000000001E-2</v>
      </c>
      <c r="I431" s="638">
        <f>'19 работа техники'!AE81</f>
        <v>6.8900000000000003E-2</v>
      </c>
      <c r="J431" s="638">
        <f>'19 работа техники'!AD81</f>
        <v>1.5100000000000001E-2</v>
      </c>
      <c r="K431" s="638">
        <f>'19 работа техники'!AE81</f>
        <v>6.8900000000000003E-2</v>
      </c>
      <c r="L431" s="638">
        <f>'19 работа техники'!AD81</f>
        <v>1.5100000000000001E-2</v>
      </c>
      <c r="M431" s="638">
        <f>'19 работа техники'!AE81</f>
        <v>6.8900000000000003E-2</v>
      </c>
      <c r="N431" s="638">
        <f>'19 работа техники'!AD81</f>
        <v>1.5100000000000001E-2</v>
      </c>
      <c r="O431" s="638">
        <f>'19 работа техники'!AE81</f>
        <v>6.8900000000000003E-2</v>
      </c>
    </row>
    <row r="432" spans="2:15" x14ac:dyDescent="0.25">
      <c r="B432" s="999"/>
      <c r="C432" s="529"/>
      <c r="D432" s="640" t="str">
        <f>'19 работа техники'!AB82</f>
        <v>Углерода оксид</v>
      </c>
      <c r="E432" s="660" t="str">
        <f>'19 работа техники'!AC82</f>
        <v>0337</v>
      </c>
      <c r="F432" s="645"/>
      <c r="G432" s="645"/>
      <c r="H432" s="645">
        <f>'19 работа техники'!AD82</f>
        <v>7.6499999999999999E-2</v>
      </c>
      <c r="I432" s="645">
        <f>'19 работа техники'!AE82</f>
        <v>0.38400000000000001</v>
      </c>
      <c r="J432" s="645">
        <f>'19 работа техники'!AD82</f>
        <v>7.6499999999999999E-2</v>
      </c>
      <c r="K432" s="645">
        <f>'19 работа техники'!AE82</f>
        <v>0.38400000000000001</v>
      </c>
      <c r="L432" s="645">
        <f>'19 работа техники'!AD82</f>
        <v>7.6499999999999999E-2</v>
      </c>
      <c r="M432" s="645">
        <f>'19 работа техники'!AE82</f>
        <v>0.38400000000000001</v>
      </c>
      <c r="N432" s="645">
        <f>'19 работа техники'!AD82</f>
        <v>7.6499999999999999E-2</v>
      </c>
      <c r="O432" s="645">
        <f>'19 работа техники'!AE82</f>
        <v>0.38400000000000001</v>
      </c>
    </row>
    <row r="433" spans="2:15" ht="16.5" customHeight="1" x14ac:dyDescent="0.25">
      <c r="B433" s="998" t="s">
        <v>548</v>
      </c>
      <c r="C433" s="525" t="s">
        <v>353</v>
      </c>
      <c r="D433" s="626" t="str">
        <f>'19 работа техники'!AB84</f>
        <v>Азота диоксид</v>
      </c>
      <c r="E433" s="681" t="str">
        <f>'19 работа техники'!AC84</f>
        <v>0301</v>
      </c>
      <c r="F433" s="631"/>
      <c r="G433" s="631"/>
      <c r="H433" s="631">
        <f>'19 работа техники'!AD84</f>
        <v>1.8700000000000001E-2</v>
      </c>
      <c r="I433" s="631">
        <f>'19 работа техники'!AE84</f>
        <v>0.1026</v>
      </c>
      <c r="J433" s="631">
        <f>'19 работа техники'!AD84</f>
        <v>1.8700000000000001E-2</v>
      </c>
      <c r="K433" s="631">
        <f>'19 работа техники'!AE84</f>
        <v>0.1026</v>
      </c>
      <c r="L433" s="631">
        <f>'19 работа техники'!AD84</f>
        <v>1.8700000000000001E-2</v>
      </c>
      <c r="M433" s="631">
        <f>'19 работа техники'!AE84</f>
        <v>0.1026</v>
      </c>
      <c r="N433" s="631">
        <f>'19 работа техники'!AD84</f>
        <v>1.8700000000000001E-2</v>
      </c>
      <c r="O433" s="631">
        <f>'19 работа техники'!AE84</f>
        <v>0.1026</v>
      </c>
    </row>
    <row r="434" spans="2:15" x14ac:dyDescent="0.25">
      <c r="B434" s="999"/>
      <c r="C434" s="528"/>
      <c r="D434" s="633" t="str">
        <f>'19 работа техники'!AB85</f>
        <v>Азота оксид</v>
      </c>
      <c r="E434" s="682" t="str">
        <f>'19 работа техники'!AC85</f>
        <v>0304</v>
      </c>
      <c r="F434" s="638"/>
      <c r="G434" s="638"/>
      <c r="H434" s="638">
        <f>'19 работа техники'!AD85</f>
        <v>3.0000000000000001E-3</v>
      </c>
      <c r="I434" s="638">
        <f>'19 работа техники'!AE85</f>
        <v>1.67E-2</v>
      </c>
      <c r="J434" s="638">
        <f>'19 работа техники'!AD85</f>
        <v>3.0000000000000001E-3</v>
      </c>
      <c r="K434" s="638">
        <f>'19 работа техники'!AE85</f>
        <v>1.67E-2</v>
      </c>
      <c r="L434" s="638">
        <f>'19 работа техники'!AD85</f>
        <v>3.0000000000000001E-3</v>
      </c>
      <c r="M434" s="638">
        <f>'19 работа техники'!AE85</f>
        <v>1.67E-2</v>
      </c>
      <c r="N434" s="638">
        <f>'19 работа техники'!AD85</f>
        <v>3.0000000000000001E-3</v>
      </c>
      <c r="O434" s="638">
        <f>'19 работа техники'!AE85</f>
        <v>1.67E-2</v>
      </c>
    </row>
    <row r="435" spans="2:15" x14ac:dyDescent="0.25">
      <c r="B435" s="999"/>
      <c r="C435" s="528"/>
      <c r="D435" s="633" t="str">
        <f>'19 работа техники'!AB86</f>
        <v>Серы диоксид</v>
      </c>
      <c r="E435" s="682" t="str">
        <f>'19 работа техники'!AC86</f>
        <v>0330</v>
      </c>
      <c r="F435" s="638"/>
      <c r="G435" s="638"/>
      <c r="H435" s="638">
        <f>'19 работа техники'!AD86</f>
        <v>2.2000000000000001E-3</v>
      </c>
      <c r="I435" s="638">
        <f>'19 работа техники'!AE86</f>
        <v>1.1299999999999999E-2</v>
      </c>
      <c r="J435" s="638">
        <f>'19 работа техники'!AD86</f>
        <v>2.2000000000000001E-3</v>
      </c>
      <c r="K435" s="638">
        <f>'19 работа техники'!AE86</f>
        <v>1.1299999999999999E-2</v>
      </c>
      <c r="L435" s="638">
        <f>'19 работа техники'!AD86</f>
        <v>2.2000000000000001E-3</v>
      </c>
      <c r="M435" s="638">
        <f>'19 работа техники'!AE86</f>
        <v>1.1299999999999999E-2</v>
      </c>
      <c r="N435" s="638">
        <f>'19 работа техники'!AD86</f>
        <v>2.2000000000000001E-3</v>
      </c>
      <c r="O435" s="638">
        <f>'19 работа техники'!AE86</f>
        <v>1.1299999999999999E-2</v>
      </c>
    </row>
    <row r="436" spans="2:15" x14ac:dyDescent="0.25">
      <c r="B436" s="999"/>
      <c r="C436" s="528"/>
      <c r="D436" s="633" t="str">
        <f>'19 работа техники'!AB87</f>
        <v>Керосин</v>
      </c>
      <c r="E436" s="682" t="str">
        <f>'19 работа техники'!AC87</f>
        <v>2732</v>
      </c>
      <c r="F436" s="638"/>
      <c r="G436" s="638"/>
      <c r="H436" s="638">
        <f>'19 работа техники'!AD87</f>
        <v>4.7999999999999996E-3</v>
      </c>
      <c r="I436" s="638">
        <f>'19 работа техники'!AE87</f>
        <v>2.4899999999999999E-2</v>
      </c>
      <c r="J436" s="638">
        <f>'19 работа техники'!AD87</f>
        <v>4.7999999999999996E-3</v>
      </c>
      <c r="K436" s="638">
        <f>'19 работа техники'!AE87</f>
        <v>2.4899999999999999E-2</v>
      </c>
      <c r="L436" s="638">
        <f>'19 работа техники'!AD87</f>
        <v>4.7999999999999996E-3</v>
      </c>
      <c r="M436" s="638">
        <f>'19 работа техники'!AE87</f>
        <v>2.4899999999999999E-2</v>
      </c>
      <c r="N436" s="638">
        <f>'19 работа техники'!AD87</f>
        <v>4.7999999999999996E-3</v>
      </c>
      <c r="O436" s="638">
        <f>'19 работа техники'!AE87</f>
        <v>2.4899999999999999E-2</v>
      </c>
    </row>
    <row r="437" spans="2:15" x14ac:dyDescent="0.25">
      <c r="B437" s="999"/>
      <c r="C437" s="528"/>
      <c r="D437" s="633" t="str">
        <f>'19 работа техники'!AB88</f>
        <v xml:space="preserve">Углерод </v>
      </c>
      <c r="E437" s="682" t="str">
        <f>'19 работа техники'!AC88</f>
        <v>0328</v>
      </c>
      <c r="F437" s="638"/>
      <c r="G437" s="638"/>
      <c r="H437" s="638">
        <f>'19 работа техники'!AD88</f>
        <v>3.5000000000000001E-3</v>
      </c>
      <c r="I437" s="638">
        <f>'19 работа техники'!AE88</f>
        <v>1.61E-2</v>
      </c>
      <c r="J437" s="638">
        <f>'19 работа техники'!AD88</f>
        <v>3.5000000000000001E-3</v>
      </c>
      <c r="K437" s="638">
        <f>'19 работа техники'!AE88</f>
        <v>1.61E-2</v>
      </c>
      <c r="L437" s="638">
        <f>'19 работа техники'!AD88</f>
        <v>3.5000000000000001E-3</v>
      </c>
      <c r="M437" s="638">
        <f>'19 работа техники'!AE88</f>
        <v>1.61E-2</v>
      </c>
      <c r="N437" s="638">
        <f>'19 работа техники'!AD88</f>
        <v>3.5000000000000001E-3</v>
      </c>
      <c r="O437" s="638">
        <f>'19 работа техники'!AE88</f>
        <v>1.61E-2</v>
      </c>
    </row>
    <row r="438" spans="2:15" x14ac:dyDescent="0.25">
      <c r="B438" s="999"/>
      <c r="C438" s="529"/>
      <c r="D438" s="640" t="str">
        <f>'19 работа техники'!AB89</f>
        <v>Углерода оксид</v>
      </c>
      <c r="E438" s="660" t="str">
        <f>'19 работа техники'!AC89</f>
        <v>0337</v>
      </c>
      <c r="F438" s="645"/>
      <c r="G438" s="645"/>
      <c r="H438" s="645">
        <f>'19 работа техники'!AD89</f>
        <v>1.7500000000000002E-2</v>
      </c>
      <c r="I438" s="645">
        <f>'19 работа техники'!AE89</f>
        <v>8.7800000000000003E-2</v>
      </c>
      <c r="J438" s="645">
        <f>'19 работа техники'!AD89</f>
        <v>1.7500000000000002E-2</v>
      </c>
      <c r="K438" s="645">
        <f>'19 работа техники'!AE89</f>
        <v>8.7800000000000003E-2</v>
      </c>
      <c r="L438" s="645">
        <f>'19 работа техники'!AD89</f>
        <v>1.7500000000000002E-2</v>
      </c>
      <c r="M438" s="645">
        <f>'19 работа техники'!AE89</f>
        <v>8.7800000000000003E-2</v>
      </c>
      <c r="N438" s="645">
        <f>'19 работа техники'!AD89</f>
        <v>1.7500000000000002E-2</v>
      </c>
      <c r="O438" s="645">
        <f>'19 работа техники'!AE89</f>
        <v>8.7800000000000003E-2</v>
      </c>
    </row>
    <row r="439" spans="2:15" ht="16.5" customHeight="1" x14ac:dyDescent="0.25">
      <c r="B439" s="998" t="s">
        <v>549</v>
      </c>
      <c r="C439" s="525" t="s">
        <v>354</v>
      </c>
      <c r="D439" s="626" t="str">
        <f>'19 работа техники'!AB91</f>
        <v>Азота диоксид</v>
      </c>
      <c r="E439" s="681" t="str">
        <f>'19 работа техники'!AC91</f>
        <v>0301</v>
      </c>
      <c r="F439" s="631"/>
      <c r="G439" s="631"/>
      <c r="H439" s="631">
        <f>'19 работа техники'!AD91+'20 въезд-выезд авто'!AG117</f>
        <v>2.2400000000000003E-2</v>
      </c>
      <c r="I439" s="631">
        <f>'19 работа техники'!AE91+'20 въезд-выезд авто'!AH117</f>
        <v>0.1036</v>
      </c>
      <c r="J439" s="631">
        <f>'19 работа техники'!AD91+'20 въезд-выезд авто'!AG117</f>
        <v>2.2400000000000003E-2</v>
      </c>
      <c r="K439" s="631">
        <f>'19 работа техники'!AE91+'20 въезд-выезд авто'!AH117</f>
        <v>0.1036</v>
      </c>
      <c r="L439" s="631">
        <f>'19 работа техники'!AD91+'20 въезд-выезд авто'!AG117</f>
        <v>2.2400000000000003E-2</v>
      </c>
      <c r="M439" s="631">
        <f>'19 работа техники'!AE91+'20 въезд-выезд авто'!AH117</f>
        <v>0.1036</v>
      </c>
      <c r="N439" s="631">
        <f>'19 работа техники'!AD91+'20 въезд-выезд авто'!AG117</f>
        <v>2.2400000000000003E-2</v>
      </c>
      <c r="O439" s="631">
        <f>'19 работа техники'!AE91+'20 въезд-выезд авто'!AH117</f>
        <v>0.1036</v>
      </c>
    </row>
    <row r="440" spans="2:15" x14ac:dyDescent="0.25">
      <c r="B440" s="999"/>
      <c r="C440" s="528" t="s">
        <v>1203</v>
      </c>
      <c r="D440" s="633" t="str">
        <f>'19 работа техники'!AB92</f>
        <v>Азота оксид</v>
      </c>
      <c r="E440" s="682" t="str">
        <f>'19 работа техники'!AC92</f>
        <v>0304</v>
      </c>
      <c r="F440" s="638"/>
      <c r="G440" s="638"/>
      <c r="H440" s="638">
        <f>'19 работа техники'!AD92+'20 въезд-выезд авто'!AG118</f>
        <v>3.5999999999999999E-3</v>
      </c>
      <c r="I440" s="638">
        <f>'19 работа техники'!AE92+'20 въезд-выезд авто'!AH118</f>
        <v>1.6899999999999998E-2</v>
      </c>
      <c r="J440" s="638">
        <f>'19 работа техники'!AD92+'20 въезд-выезд авто'!AG118</f>
        <v>3.5999999999999999E-3</v>
      </c>
      <c r="K440" s="638">
        <f>'19 работа техники'!AE92+'20 въезд-выезд авто'!AH118</f>
        <v>1.6899999999999998E-2</v>
      </c>
      <c r="L440" s="638">
        <f>'19 работа техники'!AD92+'20 въезд-выезд авто'!AG118</f>
        <v>3.5999999999999999E-3</v>
      </c>
      <c r="M440" s="638">
        <f>'19 работа техники'!AE92+'20 въезд-выезд авто'!AH118</f>
        <v>1.6899999999999998E-2</v>
      </c>
      <c r="N440" s="638">
        <f>'19 работа техники'!AD92+'20 въезд-выезд авто'!AG118</f>
        <v>3.5999999999999999E-3</v>
      </c>
      <c r="O440" s="638">
        <f>'19 работа техники'!AE92+'20 въезд-выезд авто'!AH118</f>
        <v>1.6899999999999998E-2</v>
      </c>
    </row>
    <row r="441" spans="2:15" x14ac:dyDescent="0.25">
      <c r="B441" s="999"/>
      <c r="C441" s="528"/>
      <c r="D441" s="633" t="str">
        <f>'19 работа техники'!AB93</f>
        <v>Серы диоксид</v>
      </c>
      <c r="E441" s="682" t="str">
        <f>'19 работа техники'!AC93</f>
        <v>0330</v>
      </c>
      <c r="F441" s="638"/>
      <c r="G441" s="638"/>
      <c r="H441" s="638">
        <f>'19 работа техники'!AD93+'20 въезд-выезд авто'!AG119</f>
        <v>2.8E-3</v>
      </c>
      <c r="I441" s="638">
        <f>'19 работа техники'!AE93+'20 въезд-выезд авто'!AH119</f>
        <v>1.1489999999999998E-2</v>
      </c>
      <c r="J441" s="638">
        <f>'19 работа техники'!AD93+'20 въезд-выезд авто'!AG119</f>
        <v>2.8E-3</v>
      </c>
      <c r="K441" s="638">
        <f>'19 работа техники'!AE93+'20 въезд-выезд авто'!AH119</f>
        <v>1.1489999999999998E-2</v>
      </c>
      <c r="L441" s="638">
        <f>'19 работа техники'!AD93+'20 въезд-выезд авто'!AG119</f>
        <v>2.8E-3</v>
      </c>
      <c r="M441" s="638">
        <f>'19 работа техники'!AE93+'20 въезд-выезд авто'!AH119</f>
        <v>1.1489999999999998E-2</v>
      </c>
      <c r="N441" s="638">
        <f>'19 работа техники'!AD93+'20 въезд-выезд авто'!AG119</f>
        <v>2.8E-3</v>
      </c>
      <c r="O441" s="638">
        <f>'19 работа техники'!AE93+'20 въезд-выезд авто'!AH119</f>
        <v>1.1489999999999998E-2</v>
      </c>
    </row>
    <row r="442" spans="2:15" x14ac:dyDescent="0.25">
      <c r="B442" s="999"/>
      <c r="C442" s="528"/>
      <c r="D442" s="633" t="str">
        <f>'19 работа техники'!AB94</f>
        <v>Керосин</v>
      </c>
      <c r="E442" s="682" t="str">
        <f>'19 работа техники'!AC94</f>
        <v>2732</v>
      </c>
      <c r="F442" s="638"/>
      <c r="G442" s="638"/>
      <c r="H442" s="638">
        <f>'19 работа техники'!AD94+'20 въезд-выезд авто'!AG120</f>
        <v>9.2999999999999992E-3</v>
      </c>
      <c r="I442" s="638">
        <f>'19 работа техники'!AE94+'20 въезд-выезд авто'!AH120</f>
        <v>2.58E-2</v>
      </c>
      <c r="J442" s="638">
        <f>'19 работа техники'!AD94+'20 въезд-выезд авто'!AG120</f>
        <v>9.2999999999999992E-3</v>
      </c>
      <c r="K442" s="638">
        <f>'19 работа техники'!AE94+'20 въезд-выезд авто'!AH120</f>
        <v>2.58E-2</v>
      </c>
      <c r="L442" s="638">
        <f>'19 работа техники'!AD94+'20 въезд-выезд авто'!AG120</f>
        <v>9.2999999999999992E-3</v>
      </c>
      <c r="M442" s="638">
        <f>'19 работа техники'!AE94+'20 въезд-выезд авто'!AH120</f>
        <v>2.58E-2</v>
      </c>
      <c r="N442" s="638">
        <f>'19 работа техники'!AD94+'20 въезд-выезд авто'!AG120</f>
        <v>9.2999999999999992E-3</v>
      </c>
      <c r="O442" s="638">
        <f>'19 работа техники'!AE94+'20 въезд-выезд авто'!AH120</f>
        <v>2.58E-2</v>
      </c>
    </row>
    <row r="443" spans="2:15" x14ac:dyDescent="0.25">
      <c r="B443" s="999"/>
      <c r="C443" s="528"/>
      <c r="D443" s="633" t="str">
        <f>'19 работа техники'!AB95</f>
        <v xml:space="preserve">Углерод </v>
      </c>
      <c r="E443" s="682" t="str">
        <f>'19 работа техники'!AC95</f>
        <v>0328</v>
      </c>
      <c r="F443" s="638"/>
      <c r="G443" s="638"/>
      <c r="H443" s="638">
        <f>'19 работа техники'!AD95+'20 въезд-выезд авто'!AG122</f>
        <v>4.1999999999999997E-3</v>
      </c>
      <c r="I443" s="638">
        <f>'19 работа техники'!AE95+'20 въезд-выезд авто'!AH122</f>
        <v>1.6209999999999999E-2</v>
      </c>
      <c r="J443" s="638">
        <f>'19 работа техники'!AD95+'20 въезд-выезд авто'!AG122</f>
        <v>4.1999999999999997E-3</v>
      </c>
      <c r="K443" s="638">
        <f>'19 работа техники'!AE95+'20 въезд-выезд авто'!AH122</f>
        <v>1.6209999999999999E-2</v>
      </c>
      <c r="L443" s="638">
        <f>'19 работа техники'!AD95+'20 въезд-выезд авто'!AG122</f>
        <v>4.1999999999999997E-3</v>
      </c>
      <c r="M443" s="638">
        <f>'19 работа техники'!AE95+'20 въезд-выезд авто'!AH122</f>
        <v>1.6209999999999999E-2</v>
      </c>
      <c r="N443" s="638">
        <f>'19 работа техники'!AD95+'20 въезд-выезд авто'!AG122</f>
        <v>4.1999999999999997E-3</v>
      </c>
      <c r="O443" s="638">
        <f>'19 работа техники'!AE95+'20 въезд-выезд авто'!AH122</f>
        <v>1.6209999999999999E-2</v>
      </c>
    </row>
    <row r="444" spans="2:15" x14ac:dyDescent="0.25">
      <c r="B444" s="999"/>
      <c r="C444" s="529"/>
      <c r="D444" s="640" t="str">
        <f>'19 работа техники'!AB96</f>
        <v>Углерода оксид</v>
      </c>
      <c r="E444" s="660" t="str">
        <f>'19 работа техники'!AC96</f>
        <v>0337</v>
      </c>
      <c r="F444" s="645"/>
      <c r="G444" s="645"/>
      <c r="H444" s="645">
        <f>'19 работа техники'!AD96+'20 въезд-выезд авто'!AG121</f>
        <v>4.2700000000000002E-2</v>
      </c>
      <c r="I444" s="645">
        <f>'19 работа техники'!AE96+'20 въезд-выезд авто'!AH121</f>
        <v>9.4100000000000003E-2</v>
      </c>
      <c r="J444" s="645">
        <f>'19 работа техники'!AD96+'20 въезд-выезд авто'!AG121</f>
        <v>4.2700000000000002E-2</v>
      </c>
      <c r="K444" s="645">
        <f>'19 работа техники'!AE96+'20 въезд-выезд авто'!AH121</f>
        <v>9.4100000000000003E-2</v>
      </c>
      <c r="L444" s="645">
        <f>'19 работа техники'!AD96+'20 въезд-выезд авто'!AG121</f>
        <v>4.2700000000000002E-2</v>
      </c>
      <c r="M444" s="645">
        <f>'19 работа техники'!AE96+'20 въезд-выезд авто'!AH121</f>
        <v>9.4100000000000003E-2</v>
      </c>
      <c r="N444" s="645">
        <f>'19 работа техники'!AD96+'20 въезд-выезд авто'!AG121</f>
        <v>4.2700000000000002E-2</v>
      </c>
      <c r="O444" s="645">
        <f>'19 работа техники'!AE96+'20 въезд-выезд авто'!AH121</f>
        <v>9.4100000000000003E-2</v>
      </c>
    </row>
    <row r="445" spans="2:15" ht="16.5" customHeight="1" x14ac:dyDescent="0.25">
      <c r="B445" s="998" t="s">
        <v>355</v>
      </c>
      <c r="C445" s="525" t="s">
        <v>356</v>
      </c>
      <c r="D445" s="626" t="str">
        <f>'19 работа техники'!AB98</f>
        <v>Азота диоксид</v>
      </c>
      <c r="E445" s="681" t="str">
        <f>'19 работа техники'!AC98</f>
        <v>0301</v>
      </c>
      <c r="F445" s="631"/>
      <c r="G445" s="631"/>
      <c r="H445" s="631">
        <f>'19 работа техники'!AD98</f>
        <v>8.1000000000000003E-2</v>
      </c>
      <c r="I445" s="631">
        <f>'19 работа техники'!AE98</f>
        <v>0.4456</v>
      </c>
      <c r="J445" s="631">
        <f>'19 работа техники'!AD98</f>
        <v>8.1000000000000003E-2</v>
      </c>
      <c r="K445" s="631">
        <f>'19 работа техники'!AE98</f>
        <v>0.4456</v>
      </c>
      <c r="L445" s="631">
        <f>'19 работа техники'!AD98</f>
        <v>8.1000000000000003E-2</v>
      </c>
      <c r="M445" s="631">
        <f>'19 работа техники'!AE98</f>
        <v>0.4456</v>
      </c>
      <c r="N445" s="631">
        <f>'19 работа техники'!AD98</f>
        <v>8.1000000000000003E-2</v>
      </c>
      <c r="O445" s="631">
        <f>'19 работа техники'!AE98</f>
        <v>0.4456</v>
      </c>
    </row>
    <row r="446" spans="2:15" x14ac:dyDescent="0.25">
      <c r="B446" s="999"/>
      <c r="C446" s="528"/>
      <c r="D446" s="633" t="str">
        <f>'19 работа техники'!AB99</f>
        <v>Азота оксид</v>
      </c>
      <c r="E446" s="682" t="str">
        <f>'19 работа техники'!AC99</f>
        <v>0304</v>
      </c>
      <c r="F446" s="638"/>
      <c r="G446" s="638"/>
      <c r="H446" s="638">
        <f>'19 работа техники'!AD99</f>
        <v>1.32E-2</v>
      </c>
      <c r="I446" s="638">
        <f>'19 работа техники'!AE99</f>
        <v>7.2400000000000006E-2</v>
      </c>
      <c r="J446" s="638">
        <f>'19 работа техники'!AD99</f>
        <v>1.32E-2</v>
      </c>
      <c r="K446" s="638">
        <f>'19 работа техники'!AE99</f>
        <v>7.2400000000000006E-2</v>
      </c>
      <c r="L446" s="638">
        <f>'19 работа техники'!AD99</f>
        <v>1.32E-2</v>
      </c>
      <c r="M446" s="638">
        <f>'19 работа техники'!AE99</f>
        <v>7.2400000000000006E-2</v>
      </c>
      <c r="N446" s="638">
        <f>'19 работа техники'!AD99</f>
        <v>1.32E-2</v>
      </c>
      <c r="O446" s="638">
        <f>'19 работа техники'!AE99</f>
        <v>7.2400000000000006E-2</v>
      </c>
    </row>
    <row r="447" spans="2:15" x14ac:dyDescent="0.25">
      <c r="B447" s="999"/>
      <c r="C447" s="528"/>
      <c r="D447" s="633" t="str">
        <f>'19 работа техники'!AB100</f>
        <v>Серы диоксид</v>
      </c>
      <c r="E447" s="682" t="str">
        <f>'19 работа техники'!AC100</f>
        <v>0330</v>
      </c>
      <c r="F447" s="638"/>
      <c r="G447" s="638"/>
      <c r="H447" s="638">
        <f>'19 работа техники'!AD100</f>
        <v>9.2999999999999992E-3</v>
      </c>
      <c r="I447" s="638">
        <f>'19 работа техники'!AE100</f>
        <v>4.7800000000000002E-2</v>
      </c>
      <c r="J447" s="638">
        <f>'19 работа техники'!AD100</f>
        <v>9.2999999999999992E-3</v>
      </c>
      <c r="K447" s="638">
        <f>'19 работа техники'!AE100</f>
        <v>4.7800000000000002E-2</v>
      </c>
      <c r="L447" s="638">
        <f>'19 работа техники'!AD100</f>
        <v>9.2999999999999992E-3</v>
      </c>
      <c r="M447" s="638">
        <f>'19 работа техники'!AE100</f>
        <v>4.7800000000000002E-2</v>
      </c>
      <c r="N447" s="638">
        <f>'19 работа техники'!AD100</f>
        <v>9.2999999999999992E-3</v>
      </c>
      <c r="O447" s="638">
        <f>'19 работа техники'!AE100</f>
        <v>4.7800000000000002E-2</v>
      </c>
    </row>
    <row r="448" spans="2:15" x14ac:dyDescent="0.25">
      <c r="B448" s="999"/>
      <c r="C448" s="528"/>
      <c r="D448" s="633" t="str">
        <f>'19 работа техники'!AB101</f>
        <v>Керосин</v>
      </c>
      <c r="E448" s="682" t="str">
        <f>'19 работа техники'!AC101</f>
        <v>2732</v>
      </c>
      <c r="F448" s="638"/>
      <c r="G448" s="638"/>
      <c r="H448" s="638">
        <f>'19 работа техники'!AD101</f>
        <v>2.1100000000000001E-2</v>
      </c>
      <c r="I448" s="638">
        <f>'19 работа техники'!AE101</f>
        <v>0.1095</v>
      </c>
      <c r="J448" s="638">
        <f>'19 работа техники'!AD101</f>
        <v>2.1100000000000001E-2</v>
      </c>
      <c r="K448" s="638">
        <f>'19 работа техники'!AE101</f>
        <v>0.1095</v>
      </c>
      <c r="L448" s="638">
        <f>'19 работа техники'!AD101</f>
        <v>2.1100000000000001E-2</v>
      </c>
      <c r="M448" s="638">
        <f>'19 работа техники'!AE101</f>
        <v>0.1095</v>
      </c>
      <c r="N448" s="638">
        <f>'19 работа техники'!AD101</f>
        <v>2.1100000000000001E-2</v>
      </c>
      <c r="O448" s="638">
        <f>'19 работа техники'!AE101</f>
        <v>0.1095</v>
      </c>
    </row>
    <row r="449" spans="2:15" x14ac:dyDescent="0.25">
      <c r="B449" s="999"/>
      <c r="C449" s="528"/>
      <c r="D449" s="633" t="str">
        <f>'19 работа техники'!AB102</f>
        <v xml:space="preserve">Углерод </v>
      </c>
      <c r="E449" s="682" t="str">
        <f>'19 работа техники'!AC102</f>
        <v>0328</v>
      </c>
      <c r="F449" s="638"/>
      <c r="G449" s="638"/>
      <c r="H449" s="638">
        <f>'19 работа техники'!AD102</f>
        <v>1.5100000000000001E-2</v>
      </c>
      <c r="I449" s="638">
        <f>'19 работа техники'!AE102</f>
        <v>6.8900000000000003E-2</v>
      </c>
      <c r="J449" s="638">
        <f>'19 работа техники'!AD102</f>
        <v>1.5100000000000001E-2</v>
      </c>
      <c r="K449" s="638">
        <f>'19 работа техники'!AE102</f>
        <v>6.8900000000000003E-2</v>
      </c>
      <c r="L449" s="638">
        <f>'19 работа техники'!AD102</f>
        <v>1.5100000000000001E-2</v>
      </c>
      <c r="M449" s="638">
        <f>'19 работа техники'!AE102</f>
        <v>6.8900000000000003E-2</v>
      </c>
      <c r="N449" s="638">
        <f>'19 работа техники'!AD102</f>
        <v>1.5100000000000001E-2</v>
      </c>
      <c r="O449" s="638">
        <f>'19 работа техники'!AE102</f>
        <v>6.8900000000000003E-2</v>
      </c>
    </row>
    <row r="450" spans="2:15" x14ac:dyDescent="0.25">
      <c r="B450" s="999"/>
      <c r="C450" s="529"/>
      <c r="D450" s="640" t="str">
        <f>'19 работа техники'!AB103</f>
        <v>Углерода оксид</v>
      </c>
      <c r="E450" s="660" t="str">
        <f>'19 работа техники'!AC103</f>
        <v>0337</v>
      </c>
      <c r="F450" s="645"/>
      <c r="G450" s="645"/>
      <c r="H450" s="645">
        <f>'19 работа техники'!AD103</f>
        <v>7.6499999999999999E-2</v>
      </c>
      <c r="I450" s="645">
        <f>'19 работа техники'!AE103</f>
        <v>0.38400000000000001</v>
      </c>
      <c r="J450" s="645">
        <f>'19 работа техники'!AD103</f>
        <v>7.6499999999999999E-2</v>
      </c>
      <c r="K450" s="645">
        <f>'19 работа техники'!AE103</f>
        <v>0.38400000000000001</v>
      </c>
      <c r="L450" s="645">
        <f>'19 работа техники'!AD103</f>
        <v>7.6499999999999999E-2</v>
      </c>
      <c r="M450" s="645">
        <f>'19 работа техники'!AE103</f>
        <v>0.38400000000000001</v>
      </c>
      <c r="N450" s="645">
        <f>'19 работа техники'!AD103</f>
        <v>7.6499999999999999E-2</v>
      </c>
      <c r="O450" s="645">
        <f>'19 работа техники'!AE103</f>
        <v>0.38400000000000001</v>
      </c>
    </row>
    <row r="451" spans="2:15" ht="16.5" customHeight="1" x14ac:dyDescent="0.25">
      <c r="B451" s="998" t="s">
        <v>357</v>
      </c>
      <c r="C451" s="525" t="s">
        <v>358</v>
      </c>
      <c r="D451" s="626" t="str">
        <f>'19 работа техники'!AB105</f>
        <v>Азота диоксид</v>
      </c>
      <c r="E451" s="681" t="str">
        <f>'19 работа техники'!AC105</f>
        <v>0301</v>
      </c>
      <c r="F451" s="631"/>
      <c r="G451" s="631"/>
      <c r="H451" s="631">
        <f>'19 работа техники'!AD105</f>
        <v>3.09E-2</v>
      </c>
      <c r="I451" s="631">
        <f>'19 работа техники'!AE105</f>
        <v>0.17</v>
      </c>
      <c r="J451" s="631">
        <f>'19 работа техники'!AD105</f>
        <v>3.09E-2</v>
      </c>
      <c r="K451" s="631">
        <f>'19 работа техники'!AE105</f>
        <v>0.17</v>
      </c>
      <c r="L451" s="631">
        <f>'19 работа техники'!AD105</f>
        <v>3.09E-2</v>
      </c>
      <c r="M451" s="631">
        <f>'19 работа техники'!AE105</f>
        <v>0.17</v>
      </c>
      <c r="N451" s="631">
        <f>'19 работа техники'!AD105</f>
        <v>3.09E-2</v>
      </c>
      <c r="O451" s="631">
        <f>'19 работа техники'!AE105</f>
        <v>0.17</v>
      </c>
    </row>
    <row r="452" spans="2:15" x14ac:dyDescent="0.25">
      <c r="B452" s="999"/>
      <c r="C452" s="528"/>
      <c r="D452" s="633" t="str">
        <f>'19 работа техники'!AB106</f>
        <v>Азота оксид</v>
      </c>
      <c r="E452" s="682" t="str">
        <f>'19 работа техники'!AC106</f>
        <v>0304</v>
      </c>
      <c r="F452" s="638"/>
      <c r="G452" s="638"/>
      <c r="H452" s="638">
        <f>'19 работа техники'!AD106</f>
        <v>5.0000000000000001E-3</v>
      </c>
      <c r="I452" s="638">
        <f>'19 работа техники'!AE106</f>
        <v>2.76E-2</v>
      </c>
      <c r="J452" s="638">
        <f>'19 работа техники'!AD106</f>
        <v>5.0000000000000001E-3</v>
      </c>
      <c r="K452" s="638">
        <f>'19 работа техники'!AE106</f>
        <v>2.76E-2</v>
      </c>
      <c r="L452" s="638">
        <f>'19 работа техники'!AD106</f>
        <v>5.0000000000000001E-3</v>
      </c>
      <c r="M452" s="638">
        <f>'19 работа техники'!AE106</f>
        <v>2.76E-2</v>
      </c>
      <c r="N452" s="638">
        <f>'19 работа техники'!AD106</f>
        <v>5.0000000000000001E-3</v>
      </c>
      <c r="O452" s="638">
        <f>'19 работа техники'!AE106</f>
        <v>2.76E-2</v>
      </c>
    </row>
    <row r="453" spans="2:15" x14ac:dyDescent="0.25">
      <c r="B453" s="999"/>
      <c r="C453" s="528"/>
      <c r="D453" s="633" t="str">
        <f>'19 работа техники'!AB107</f>
        <v>Серы диоксид</v>
      </c>
      <c r="E453" s="682" t="str">
        <f>'19 работа техники'!AC107</f>
        <v>0330</v>
      </c>
      <c r="F453" s="638"/>
      <c r="G453" s="638"/>
      <c r="H453" s="638">
        <f>'19 работа техники'!AD107</f>
        <v>3.3999999999999998E-3</v>
      </c>
      <c r="I453" s="638">
        <f>'19 работа техники'!AE107</f>
        <v>1.78E-2</v>
      </c>
      <c r="J453" s="638">
        <f>'19 работа техники'!AD107</f>
        <v>3.3999999999999998E-3</v>
      </c>
      <c r="K453" s="638">
        <f>'19 работа техники'!AE107</f>
        <v>1.78E-2</v>
      </c>
      <c r="L453" s="638">
        <f>'19 работа техники'!AD107</f>
        <v>3.3999999999999998E-3</v>
      </c>
      <c r="M453" s="638">
        <f>'19 работа техники'!AE107</f>
        <v>1.78E-2</v>
      </c>
      <c r="N453" s="638">
        <f>'19 работа техники'!AD107</f>
        <v>3.3999999999999998E-3</v>
      </c>
      <c r="O453" s="638">
        <f>'19 работа техники'!AE107</f>
        <v>1.78E-2</v>
      </c>
    </row>
    <row r="454" spans="2:15" x14ac:dyDescent="0.25">
      <c r="B454" s="999"/>
      <c r="C454" s="528"/>
      <c r="D454" s="633" t="str">
        <f>'19 работа техники'!AB108</f>
        <v>Керосин</v>
      </c>
      <c r="E454" s="682" t="str">
        <f>'19 работа техники'!AC108</f>
        <v>2732</v>
      </c>
      <c r="F454" s="638"/>
      <c r="G454" s="638"/>
      <c r="H454" s="638">
        <f>'19 работа техники'!AD108</f>
        <v>7.9000000000000008E-3</v>
      </c>
      <c r="I454" s="638">
        <f>'19 работа техники'!AE108</f>
        <v>4.1200000000000001E-2</v>
      </c>
      <c r="J454" s="638">
        <f>'19 работа техники'!AD108</f>
        <v>7.9000000000000008E-3</v>
      </c>
      <c r="K454" s="638">
        <f>'19 работа техники'!AE108</f>
        <v>4.1200000000000001E-2</v>
      </c>
      <c r="L454" s="638">
        <f>'19 работа техники'!AD108</f>
        <v>7.9000000000000008E-3</v>
      </c>
      <c r="M454" s="638">
        <f>'19 работа техники'!AE108</f>
        <v>4.1200000000000001E-2</v>
      </c>
      <c r="N454" s="638">
        <f>'19 работа техники'!AD108</f>
        <v>7.9000000000000008E-3</v>
      </c>
      <c r="O454" s="638">
        <f>'19 работа техники'!AE108</f>
        <v>4.1200000000000001E-2</v>
      </c>
    </row>
    <row r="455" spans="2:15" x14ac:dyDescent="0.25">
      <c r="B455" s="999"/>
      <c r="C455" s="528"/>
      <c r="D455" s="633" t="str">
        <f>'19 работа техники'!AB109</f>
        <v xml:space="preserve">Углерод </v>
      </c>
      <c r="E455" s="682" t="str">
        <f>'19 работа техники'!AC109</f>
        <v>0328</v>
      </c>
      <c r="F455" s="638"/>
      <c r="G455" s="638"/>
      <c r="H455" s="638">
        <f>'19 работа техники'!AD109</f>
        <v>5.7000000000000002E-3</v>
      </c>
      <c r="I455" s="638">
        <f>'19 работа техники'!AE109</f>
        <v>2.58E-2</v>
      </c>
      <c r="J455" s="638">
        <f>'19 работа техники'!AD109</f>
        <v>5.7000000000000002E-3</v>
      </c>
      <c r="K455" s="638">
        <f>'19 работа техники'!AE109</f>
        <v>2.58E-2</v>
      </c>
      <c r="L455" s="638">
        <f>'19 работа техники'!AD109</f>
        <v>5.7000000000000002E-3</v>
      </c>
      <c r="M455" s="638">
        <f>'19 работа техники'!AE109</f>
        <v>2.58E-2</v>
      </c>
      <c r="N455" s="638">
        <f>'19 работа техники'!AD109</f>
        <v>5.7000000000000002E-3</v>
      </c>
      <c r="O455" s="638">
        <f>'19 работа техники'!AE109</f>
        <v>2.58E-2</v>
      </c>
    </row>
    <row r="456" spans="2:15" x14ac:dyDescent="0.25">
      <c r="B456" s="999"/>
      <c r="C456" s="529"/>
      <c r="D456" s="640" t="str">
        <f>'19 работа техники'!AB110</f>
        <v>Углерода оксид</v>
      </c>
      <c r="E456" s="660" t="str">
        <f>'19 работа техники'!AC110</f>
        <v>0337</v>
      </c>
      <c r="F456" s="645"/>
      <c r="G456" s="645"/>
      <c r="H456" s="645">
        <f>'19 работа техники'!AD110</f>
        <v>2.92E-2</v>
      </c>
      <c r="I456" s="645">
        <f>'19 работа техники'!AE110</f>
        <v>0.1467</v>
      </c>
      <c r="J456" s="645">
        <f>'19 работа техники'!AD110</f>
        <v>2.92E-2</v>
      </c>
      <c r="K456" s="645">
        <f>'19 работа техники'!AE110</f>
        <v>0.1467</v>
      </c>
      <c r="L456" s="645">
        <f>'19 работа техники'!AD110</f>
        <v>2.92E-2</v>
      </c>
      <c r="M456" s="645">
        <f>'19 работа техники'!AE110</f>
        <v>0.1467</v>
      </c>
      <c r="N456" s="645">
        <f>'19 работа техники'!AD110</f>
        <v>2.92E-2</v>
      </c>
      <c r="O456" s="645">
        <f>'19 работа техники'!AE110</f>
        <v>0.1467</v>
      </c>
    </row>
    <row r="457" spans="2:15" ht="16.5" customHeight="1" x14ac:dyDescent="0.25">
      <c r="B457" s="998" t="s">
        <v>446</v>
      </c>
      <c r="C457" s="525" t="s">
        <v>371</v>
      </c>
      <c r="D457" s="626" t="str">
        <f>'20 въезд-выезд авто'!AE125</f>
        <v>Азота диоксид</v>
      </c>
      <c r="E457" s="701" t="str">
        <f>'20 въезд-выезд авто'!AF125</f>
        <v>0301</v>
      </c>
      <c r="F457" s="631"/>
      <c r="G457" s="631"/>
      <c r="H457" s="631"/>
      <c r="I457" s="631"/>
      <c r="J457" s="631"/>
      <c r="K457" s="631"/>
      <c r="L457" s="631">
        <f>'20 въезд-выезд авто'!AG125</f>
        <v>9.1000000000000004E-3</v>
      </c>
      <c r="M457" s="631">
        <f>'20 въезд-выезд авто'!AH125</f>
        <v>5.1000000000000004E-3</v>
      </c>
      <c r="N457" s="631">
        <f>'20 въезд-выезд авто'!AG125</f>
        <v>9.1000000000000004E-3</v>
      </c>
      <c r="O457" s="631">
        <f>'20 въезд-выезд авто'!AH125</f>
        <v>5.1000000000000004E-3</v>
      </c>
    </row>
    <row r="458" spans="2:15" x14ac:dyDescent="0.25">
      <c r="B458" s="999"/>
      <c r="C458" s="528" t="s">
        <v>720</v>
      </c>
      <c r="D458" s="633" t="str">
        <f>'20 въезд-выезд авто'!AE126</f>
        <v>Азота оксид</v>
      </c>
      <c r="E458" s="702" t="str">
        <f>'20 въезд-выезд авто'!AF126</f>
        <v>0304</v>
      </c>
      <c r="F458" s="638"/>
      <c r="G458" s="638"/>
      <c r="H458" s="638"/>
      <c r="I458" s="638"/>
      <c r="J458" s="638"/>
      <c r="K458" s="638"/>
      <c r="L458" s="638">
        <f>'20 въезд-выезд авто'!AG126</f>
        <v>1.5E-3</v>
      </c>
      <c r="M458" s="638">
        <f>'20 въезд-выезд авто'!AH126</f>
        <v>8.0000000000000004E-4</v>
      </c>
      <c r="N458" s="638">
        <f>'20 въезд-выезд авто'!AG126</f>
        <v>1.5E-3</v>
      </c>
      <c r="O458" s="638">
        <f>'20 въезд-выезд авто'!AH126</f>
        <v>8.0000000000000004E-4</v>
      </c>
    </row>
    <row r="459" spans="2:15" x14ac:dyDescent="0.25">
      <c r="B459" s="999"/>
      <c r="C459" s="528"/>
      <c r="D459" s="633" t="str">
        <f>'20 въезд-выезд авто'!AE127</f>
        <v>Серы диоксид</v>
      </c>
      <c r="E459" s="702" t="str">
        <f>'20 въезд-выезд авто'!AF127</f>
        <v>0330</v>
      </c>
      <c r="F459" s="638"/>
      <c r="G459" s="638"/>
      <c r="H459" s="638"/>
      <c r="I459" s="638"/>
      <c r="J459" s="638"/>
      <c r="K459" s="638"/>
      <c r="L459" s="638">
        <f>'20 въезд-выезд авто'!AG127</f>
        <v>8.0000000000000004E-4</v>
      </c>
      <c r="M459" s="638">
        <f>'20 въезд-выезд авто'!AH127</f>
        <v>4.8999999999999998E-4</v>
      </c>
      <c r="N459" s="638">
        <f>'20 въезд-выезд авто'!AG127</f>
        <v>8.0000000000000004E-4</v>
      </c>
      <c r="O459" s="638">
        <f>'20 въезд-выезд авто'!AH127</f>
        <v>4.8999999999999998E-4</v>
      </c>
    </row>
    <row r="460" spans="2:15" x14ac:dyDescent="0.25">
      <c r="B460" s="999"/>
      <c r="C460" s="528"/>
      <c r="D460" s="633" t="str">
        <f>'20 въезд-выезд авто'!AE128</f>
        <v>Керосин</v>
      </c>
      <c r="E460" s="702" t="str">
        <f>'20 въезд-выезд авто'!AF128</f>
        <v>2732</v>
      </c>
      <c r="F460" s="638"/>
      <c r="G460" s="638"/>
      <c r="H460" s="638"/>
      <c r="I460" s="638"/>
      <c r="J460" s="638"/>
      <c r="K460" s="638"/>
      <c r="L460" s="638">
        <f>'20 въезд-выезд авто'!AG128</f>
        <v>6.1999999999999998E-3</v>
      </c>
      <c r="M460" s="638">
        <f>'20 въезд-выезд авто'!AH128</f>
        <v>3.3E-3</v>
      </c>
      <c r="N460" s="638">
        <f>'20 въезд-выезд авто'!AG128</f>
        <v>6.1999999999999998E-3</v>
      </c>
      <c r="O460" s="638">
        <f>'20 въезд-выезд авто'!AH128</f>
        <v>3.3E-3</v>
      </c>
    </row>
    <row r="461" spans="2:15" x14ac:dyDescent="0.25">
      <c r="B461" s="999"/>
      <c r="C461" s="528"/>
      <c r="D461" s="633" t="str">
        <f>'20 въезд-выезд авто'!AE129</f>
        <v>Углерода оксид</v>
      </c>
      <c r="E461" s="702" t="str">
        <f>'20 въезд-выезд авто'!AF129</f>
        <v>0337</v>
      </c>
      <c r="F461" s="638"/>
      <c r="G461" s="638"/>
      <c r="H461" s="638"/>
      <c r="I461" s="638"/>
      <c r="J461" s="638"/>
      <c r="K461" s="638"/>
      <c r="L461" s="638">
        <f>'20 въезд-выезд авто'!AG129</f>
        <v>4.6399999999999997E-2</v>
      </c>
      <c r="M461" s="638">
        <f>'20 въезд-выезд авто'!AH129</f>
        <v>2.3800000000000002E-2</v>
      </c>
      <c r="N461" s="638">
        <f>'20 въезд-выезд авто'!AG129</f>
        <v>4.6399999999999997E-2</v>
      </c>
      <c r="O461" s="638">
        <f>'20 въезд-выезд авто'!AH129</f>
        <v>2.3800000000000002E-2</v>
      </c>
    </row>
    <row r="462" spans="2:15" x14ac:dyDescent="0.25">
      <c r="B462" s="999"/>
      <c r="C462" s="529"/>
      <c r="D462" s="640" t="str">
        <f>'20 въезд-выезд авто'!AE130</f>
        <v>Углерод</v>
      </c>
      <c r="E462" s="703" t="str">
        <f>'20 въезд-выезд авто'!AF130</f>
        <v>0328</v>
      </c>
      <c r="F462" s="645"/>
      <c r="G462" s="645"/>
      <c r="H462" s="645"/>
      <c r="I462" s="645"/>
      <c r="J462" s="645"/>
      <c r="K462" s="645"/>
      <c r="L462" s="645">
        <f>'20 въезд-выезд авто'!AG130</f>
        <v>8.9999999999999998E-4</v>
      </c>
      <c r="M462" s="645">
        <f>'20 въезд-выезд авто'!AH130</f>
        <v>4.2999999999999999E-4</v>
      </c>
      <c r="N462" s="645">
        <f>'20 въезд-выезд авто'!AG130</f>
        <v>8.9999999999999998E-4</v>
      </c>
      <c r="O462" s="645">
        <f>'20 въезд-выезд авто'!AH130</f>
        <v>4.2999999999999999E-4</v>
      </c>
    </row>
    <row r="463" spans="2:15" ht="16.5" customHeight="1" x14ac:dyDescent="0.25">
      <c r="B463" s="998" t="s">
        <v>1176</v>
      </c>
      <c r="C463" s="525" t="s">
        <v>467</v>
      </c>
      <c r="D463" s="626" t="str">
        <f>'19 работа техники'!AB371</f>
        <v>Азота диоксид</v>
      </c>
      <c r="E463" s="701" t="str">
        <f>'19 работа техники'!AC371</f>
        <v>0301</v>
      </c>
      <c r="F463" s="631"/>
      <c r="G463" s="631"/>
      <c r="H463" s="631"/>
      <c r="I463" s="631"/>
      <c r="J463" s="631"/>
      <c r="K463" s="631"/>
      <c r="L463" s="631">
        <f>'19 работа техники'!AD178+'20 въезд-выезд авто'!AG133</f>
        <v>0.04</v>
      </c>
      <c r="M463" s="631">
        <f>'19 работа техники'!AE178+'20 въезд-выезд авто'!AH133</f>
        <v>6.4199999999999993E-2</v>
      </c>
      <c r="N463" s="631">
        <f>'19 работа техники'!AD371+'20 въезд-выезд авто'!AG288</f>
        <v>0.04</v>
      </c>
      <c r="O463" s="631">
        <f>'19 работа техники'!AE371+'20 въезд-выезд авто'!AH288</f>
        <v>0.25650000000000001</v>
      </c>
    </row>
    <row r="464" spans="2:15" x14ac:dyDescent="0.25">
      <c r="B464" s="999"/>
      <c r="C464" s="528" t="s">
        <v>492</v>
      </c>
      <c r="D464" s="633" t="str">
        <f>'19 работа техники'!AB372</f>
        <v>Азота оксид</v>
      </c>
      <c r="E464" s="702" t="str">
        <f>'19 работа техники'!AC372</f>
        <v>0304</v>
      </c>
      <c r="F464" s="638"/>
      <c r="G464" s="638"/>
      <c r="H464" s="638"/>
      <c r="I464" s="638"/>
      <c r="J464" s="638"/>
      <c r="K464" s="638"/>
      <c r="L464" s="638">
        <f>'19 работа техники'!AD179+'20 въезд-выезд авто'!AG134</f>
        <v>6.5000000000000006E-3</v>
      </c>
      <c r="M464" s="638">
        <f>'19 работа техники'!AE179+'20 въезд-выезд авто'!AH134</f>
        <v>1.0499999999999999E-2</v>
      </c>
      <c r="N464" s="638">
        <f>'19 работа техники'!AD372+'20 въезд-выезд авто'!AG289</f>
        <v>6.5000000000000006E-3</v>
      </c>
      <c r="O464" s="638">
        <f>'19 работа техники'!AE372+'20 въезд-выезд авто'!AH289</f>
        <v>4.1600000000000005E-2</v>
      </c>
    </row>
    <row r="465" spans="2:15" x14ac:dyDescent="0.25">
      <c r="B465" s="999"/>
      <c r="C465" s="528"/>
      <c r="D465" s="633" t="str">
        <f>'19 работа техники'!AB373</f>
        <v>Серы диоксид</v>
      </c>
      <c r="E465" s="702" t="str">
        <f>'19 работа техники'!AC373</f>
        <v>0330</v>
      </c>
      <c r="F465" s="638"/>
      <c r="G465" s="638"/>
      <c r="H465" s="638"/>
      <c r="I465" s="638"/>
      <c r="J465" s="638"/>
      <c r="K465" s="638"/>
      <c r="L465" s="638">
        <f>'19 работа техники'!AD180+'20 въезд-выезд авто'!AG135</f>
        <v>4.1999999999999997E-3</v>
      </c>
      <c r="M465" s="638">
        <f>'19 работа техники'!AE180+'20 въезд-выезд авто'!AH135</f>
        <v>7.5100000000000002E-3</v>
      </c>
      <c r="N465" s="638">
        <f>'19 работа техники'!AD373+'20 въезд-выезд авто'!AG290</f>
        <v>4.1999999999999997E-3</v>
      </c>
      <c r="O465" s="638">
        <f>'19 работа техники'!AE373+'20 въезд-выезд авто'!AH290</f>
        <v>2.7790000000000002E-2</v>
      </c>
    </row>
    <row r="466" spans="2:15" x14ac:dyDescent="0.25">
      <c r="B466" s="999"/>
      <c r="C466" s="528"/>
      <c r="D466" s="633" t="str">
        <f>'19 работа техники'!AB374</f>
        <v>Керосин</v>
      </c>
      <c r="E466" s="702" t="str">
        <f>'19 работа техники'!AC374</f>
        <v>2732</v>
      </c>
      <c r="F466" s="638"/>
      <c r="G466" s="638"/>
      <c r="H466" s="638"/>
      <c r="I466" s="638"/>
      <c r="J466" s="638"/>
      <c r="K466" s="638"/>
      <c r="L466" s="638">
        <f>'19 работа техники'!AD181+'20 въезд-выезд авто'!AG136</f>
        <v>1.4100000000000001E-2</v>
      </c>
      <c r="M466" s="638">
        <f>'19 работа техники'!AE181+'20 въезд-выезд авто'!AH136</f>
        <v>1.8200000000000001E-2</v>
      </c>
      <c r="N466" s="638">
        <f>'19 работа техники'!AD374+'20 въезд-выезд авто'!AG291</f>
        <v>1.4100000000000001E-2</v>
      </c>
      <c r="O466" s="638">
        <f>'19 работа техники'!AE374+'20 въезд-выезд авто'!AH291</f>
        <v>6.6099999999999992E-2</v>
      </c>
    </row>
    <row r="467" spans="2:15" x14ac:dyDescent="0.25">
      <c r="B467" s="999"/>
      <c r="C467" s="528"/>
      <c r="D467" s="633" t="str">
        <f>'19 работа техники'!AB375</f>
        <v xml:space="preserve">Углерод </v>
      </c>
      <c r="E467" s="702" t="str">
        <f>'19 работа техники'!AC375</f>
        <v>0328</v>
      </c>
      <c r="F467" s="638"/>
      <c r="G467" s="638"/>
      <c r="H467" s="638"/>
      <c r="I467" s="638"/>
      <c r="J467" s="638"/>
      <c r="K467" s="638"/>
      <c r="L467" s="638">
        <f>'19 работа техники'!AD182+'20 въезд-выезд авто'!AG138</f>
        <v>6.6E-3</v>
      </c>
      <c r="M467" s="638">
        <f>'19 работа техники'!AE182+'20 въезд-выезд авто'!AH138</f>
        <v>1.2529999999999999E-2</v>
      </c>
      <c r="N467" s="638">
        <f>'19 работа техники'!AD375+'20 въезд-выезд авто'!AG293</f>
        <v>6.6E-3</v>
      </c>
      <c r="O467" s="638">
        <f>'19 работа техники'!AE375+'20 въезд-выезд авто'!AH293</f>
        <v>4.2430000000000002E-2</v>
      </c>
    </row>
    <row r="468" spans="2:15" x14ac:dyDescent="0.25">
      <c r="B468" s="999"/>
      <c r="C468" s="529"/>
      <c r="D468" s="640" t="str">
        <f>'19 работа техники'!AB376</f>
        <v>Углерода оксид</v>
      </c>
      <c r="E468" s="703" t="str">
        <f>'19 работа техники'!AC376</f>
        <v>0337</v>
      </c>
      <c r="F468" s="645"/>
      <c r="G468" s="645"/>
      <c r="H468" s="645"/>
      <c r="I468" s="645"/>
      <c r="J468" s="645"/>
      <c r="K468" s="645"/>
      <c r="L468" s="645">
        <f>'19 работа техники'!AD183+'20 въезд-выезд авто'!AG137</f>
        <v>7.5600000000000001E-2</v>
      </c>
      <c r="M468" s="645">
        <f>'19 работа техники'!AE183+'20 въезд-выезд авто'!AH137</f>
        <v>7.0699999999999999E-2</v>
      </c>
      <c r="N468" s="645">
        <f>'19 работа техники'!AD376+'20 въезд-выезд авто'!AG292</f>
        <v>7.5600000000000001E-2</v>
      </c>
      <c r="O468" s="645">
        <f>'19 работа техники'!AE376+'20 въезд-выезд авто'!AH292</f>
        <v>0.24759999999999999</v>
      </c>
    </row>
    <row r="469" spans="2:15" ht="16.5" customHeight="1" x14ac:dyDescent="0.25">
      <c r="B469" s="998" t="s">
        <v>1177</v>
      </c>
      <c r="C469" s="525" t="s">
        <v>470</v>
      </c>
      <c r="D469" s="626" t="str">
        <f>'19 работа техники'!AB378</f>
        <v>Азота диоксид</v>
      </c>
      <c r="E469" s="701" t="str">
        <f>'19 работа техники'!AC378</f>
        <v>0301</v>
      </c>
      <c r="F469" s="631"/>
      <c r="G469" s="631"/>
      <c r="H469" s="631"/>
      <c r="I469" s="631"/>
      <c r="J469" s="631"/>
      <c r="K469" s="631"/>
      <c r="L469" s="631">
        <f>'19 работа техники'!AD185+'20 въезд-выезд авто'!AG140</f>
        <v>0.04</v>
      </c>
      <c r="M469" s="631">
        <f>'19 работа техники'!AE185+'20 въезд-выезд авто'!AH140</f>
        <v>6.4199999999999993E-2</v>
      </c>
      <c r="N469" s="681">
        <f>'19 работа техники'!AD378+'20 въезд-выезд авто'!AG295</f>
        <v>0.04</v>
      </c>
      <c r="O469" s="681">
        <f>'19 работа техники'!AE378+'20 въезд-выезд авто'!AH295</f>
        <v>0.25650000000000001</v>
      </c>
    </row>
    <row r="470" spans="2:15" x14ac:dyDescent="0.25">
      <c r="B470" s="999"/>
      <c r="C470" s="528" t="s">
        <v>166</v>
      </c>
      <c r="D470" s="633" t="str">
        <f>'19 работа техники'!AB379</f>
        <v>Азота оксид</v>
      </c>
      <c r="E470" s="702" t="str">
        <f>'19 работа техники'!AC379</f>
        <v>0304</v>
      </c>
      <c r="F470" s="638"/>
      <c r="G470" s="638"/>
      <c r="H470" s="638"/>
      <c r="I470" s="638"/>
      <c r="J470" s="638"/>
      <c r="K470" s="638"/>
      <c r="L470" s="638">
        <f>'19 работа техники'!AD186+'20 въезд-выезд авто'!AG141</f>
        <v>6.5000000000000006E-3</v>
      </c>
      <c r="M470" s="638">
        <f>'19 работа техники'!AE186+'20 въезд-выезд авто'!AH141</f>
        <v>1.0499999999999999E-2</v>
      </c>
      <c r="N470" s="682">
        <f>'19 работа техники'!AD379+'20 въезд-выезд авто'!AG296</f>
        <v>6.5000000000000006E-3</v>
      </c>
      <c r="O470" s="682">
        <f>'19 работа техники'!AE379+'20 въезд-выезд авто'!AH296</f>
        <v>4.1600000000000005E-2</v>
      </c>
    </row>
    <row r="471" spans="2:15" x14ac:dyDescent="0.25">
      <c r="B471" s="999"/>
      <c r="C471" s="528"/>
      <c r="D471" s="633" t="str">
        <f>'19 работа техники'!AB380</f>
        <v>Серы диоксид</v>
      </c>
      <c r="E471" s="702" t="str">
        <f>'19 работа техники'!AC380</f>
        <v>0330</v>
      </c>
      <c r="F471" s="638"/>
      <c r="G471" s="638"/>
      <c r="H471" s="638"/>
      <c r="I471" s="638"/>
      <c r="J471" s="638"/>
      <c r="K471" s="638"/>
      <c r="L471" s="638">
        <f>'19 работа техники'!AD187+'20 въезд-выезд авто'!AG142</f>
        <v>4.1999999999999997E-3</v>
      </c>
      <c r="M471" s="638">
        <f>'19 работа техники'!AE187+'20 въезд-выезд авто'!AH142</f>
        <v>7.5100000000000002E-3</v>
      </c>
      <c r="N471" s="682">
        <f>'19 работа техники'!AD380+'20 въезд-выезд авто'!AG297</f>
        <v>4.1999999999999997E-3</v>
      </c>
      <c r="O471" s="682">
        <f>'19 работа техники'!AE380+'20 въезд-выезд авто'!AH297</f>
        <v>2.7790000000000002E-2</v>
      </c>
    </row>
    <row r="472" spans="2:15" x14ac:dyDescent="0.25">
      <c r="B472" s="999"/>
      <c r="C472" s="528"/>
      <c r="D472" s="633" t="str">
        <f>'19 работа техники'!AB381</f>
        <v>Керосин</v>
      </c>
      <c r="E472" s="702" t="str">
        <f>'19 работа техники'!AC381</f>
        <v>2732</v>
      </c>
      <c r="F472" s="638"/>
      <c r="G472" s="638"/>
      <c r="H472" s="638"/>
      <c r="I472" s="638"/>
      <c r="J472" s="638"/>
      <c r="K472" s="638"/>
      <c r="L472" s="638">
        <f>'19 работа техники'!AD188+'20 въезд-выезд авто'!AG143</f>
        <v>1.4100000000000001E-2</v>
      </c>
      <c r="M472" s="638">
        <f>'19 работа техники'!AE188+'20 въезд-выезд авто'!AH143</f>
        <v>1.8200000000000001E-2</v>
      </c>
      <c r="N472" s="682">
        <f>'19 работа техники'!AD381+'20 въезд-выезд авто'!AG298</f>
        <v>1.4100000000000001E-2</v>
      </c>
      <c r="O472" s="682">
        <f>'19 работа техники'!AE381+'20 въезд-выезд авто'!AH298</f>
        <v>6.6099999999999992E-2</v>
      </c>
    </row>
    <row r="473" spans="2:15" x14ac:dyDescent="0.25">
      <c r="B473" s="999"/>
      <c r="C473" s="528"/>
      <c r="D473" s="633" t="str">
        <f>'19 работа техники'!AB382</f>
        <v xml:space="preserve">Углерод </v>
      </c>
      <c r="E473" s="702" t="str">
        <f>'19 работа техники'!AC382</f>
        <v>0328</v>
      </c>
      <c r="F473" s="638"/>
      <c r="G473" s="638"/>
      <c r="H473" s="638"/>
      <c r="I473" s="638"/>
      <c r="J473" s="638"/>
      <c r="K473" s="638"/>
      <c r="L473" s="638">
        <f>'19 работа техники'!AD189+'20 въезд-выезд авто'!AG145</f>
        <v>6.6E-3</v>
      </c>
      <c r="M473" s="638">
        <f>'19 работа техники'!AE189+'20 въезд-выезд авто'!AH145</f>
        <v>1.2529999999999999E-2</v>
      </c>
      <c r="N473" s="682">
        <f>'19 работа техники'!AD382+'20 въезд-выезд авто'!AG300</f>
        <v>6.6E-3</v>
      </c>
      <c r="O473" s="682">
        <f>'19 работа техники'!AE382+'20 въезд-выезд авто'!AH300</f>
        <v>4.2430000000000002E-2</v>
      </c>
    </row>
    <row r="474" spans="2:15" x14ac:dyDescent="0.25">
      <c r="B474" s="999"/>
      <c r="C474" s="529"/>
      <c r="D474" s="640" t="str">
        <f>'19 работа техники'!AB383</f>
        <v>Углерода оксид</v>
      </c>
      <c r="E474" s="703" t="str">
        <f>'19 работа техники'!AC383</f>
        <v>0337</v>
      </c>
      <c r="F474" s="645"/>
      <c r="G474" s="645"/>
      <c r="H474" s="645"/>
      <c r="I474" s="645"/>
      <c r="J474" s="645"/>
      <c r="K474" s="645"/>
      <c r="L474" s="645">
        <f>'19 работа техники'!AD190+'20 въезд-выезд авто'!AG144</f>
        <v>7.5600000000000001E-2</v>
      </c>
      <c r="M474" s="645">
        <f>'19 работа техники'!AE190+'20 въезд-выезд авто'!AH144</f>
        <v>7.0699999999999999E-2</v>
      </c>
      <c r="N474" s="660">
        <f>'19 работа техники'!AD383+'20 въезд-выезд авто'!AG299</f>
        <v>7.5600000000000001E-2</v>
      </c>
      <c r="O474" s="660">
        <f>'19 работа техники'!AE383+'20 въезд-выезд авто'!AH299</f>
        <v>0.24759999999999999</v>
      </c>
    </row>
    <row r="475" spans="2:15" ht="16.5" customHeight="1" x14ac:dyDescent="0.25">
      <c r="B475" s="998" t="s">
        <v>1178</v>
      </c>
      <c r="C475" s="525" t="s">
        <v>472</v>
      </c>
      <c r="D475" s="626" t="str">
        <f>'19 работа техники'!AB385</f>
        <v>Азота диоксид</v>
      </c>
      <c r="E475" s="701" t="str">
        <f>'19 работа техники'!AC385</f>
        <v>0301</v>
      </c>
      <c r="F475" s="631"/>
      <c r="G475" s="631"/>
      <c r="H475" s="631"/>
      <c r="I475" s="631"/>
      <c r="J475" s="631"/>
      <c r="K475" s="631"/>
      <c r="L475" s="631">
        <f>'19 работа техники'!AD192+'20 въезд-выезд авто'!AG147</f>
        <v>0.04</v>
      </c>
      <c r="M475" s="631">
        <f>'19 работа техники'!AE192+'20 въезд-выезд авто'!AH147</f>
        <v>6.4199999999999993E-2</v>
      </c>
      <c r="N475" s="681">
        <f>'19 работа техники'!AD385+'20 въезд-выезд авто'!AG302</f>
        <v>0.04</v>
      </c>
      <c r="O475" s="681">
        <f>'19 работа техники'!AE385+'20 въезд-выезд авто'!AH302</f>
        <v>0.25650000000000001</v>
      </c>
    </row>
    <row r="476" spans="2:15" x14ac:dyDescent="0.25">
      <c r="B476" s="999"/>
      <c r="C476" s="528" t="s">
        <v>166</v>
      </c>
      <c r="D476" s="633" t="str">
        <f>'19 работа техники'!AB386</f>
        <v>Азота оксид</v>
      </c>
      <c r="E476" s="702" t="str">
        <f>'19 работа техники'!AC386</f>
        <v>0304</v>
      </c>
      <c r="F476" s="638"/>
      <c r="G476" s="638"/>
      <c r="H476" s="638"/>
      <c r="I476" s="638"/>
      <c r="J476" s="638"/>
      <c r="K476" s="638"/>
      <c r="L476" s="638">
        <f>'19 работа техники'!AD193+'20 въезд-выезд авто'!AG148</f>
        <v>6.5000000000000006E-3</v>
      </c>
      <c r="M476" s="638">
        <f>'19 работа техники'!AE193+'20 въезд-выезд авто'!AH148</f>
        <v>1.0499999999999999E-2</v>
      </c>
      <c r="N476" s="682">
        <f>'19 работа техники'!AD386+'20 въезд-выезд авто'!AG303</f>
        <v>6.5000000000000006E-3</v>
      </c>
      <c r="O476" s="682">
        <f>'19 работа техники'!AE386+'20 въезд-выезд авто'!AH303</f>
        <v>4.1600000000000005E-2</v>
      </c>
    </row>
    <row r="477" spans="2:15" x14ac:dyDescent="0.25">
      <c r="B477" s="999"/>
      <c r="C477" s="528"/>
      <c r="D477" s="633" t="str">
        <f>'19 работа техники'!AB387</f>
        <v>Серы диоксид</v>
      </c>
      <c r="E477" s="702" t="str">
        <f>'19 работа техники'!AC387</f>
        <v>0330</v>
      </c>
      <c r="F477" s="638"/>
      <c r="G477" s="638"/>
      <c r="H477" s="638"/>
      <c r="I477" s="638"/>
      <c r="J477" s="638"/>
      <c r="K477" s="638"/>
      <c r="L477" s="638">
        <f>'19 работа техники'!AD194+'20 въезд-выезд авто'!AG149</f>
        <v>4.1999999999999997E-3</v>
      </c>
      <c r="M477" s="638">
        <f>'19 работа техники'!AE194+'20 въезд-выезд авто'!AH149</f>
        <v>7.5100000000000002E-3</v>
      </c>
      <c r="N477" s="682">
        <f>'19 работа техники'!AD387+'20 въезд-выезд авто'!AG304</f>
        <v>4.1999999999999997E-3</v>
      </c>
      <c r="O477" s="682">
        <f>'19 работа техники'!AE387+'20 въезд-выезд авто'!AH304</f>
        <v>2.7790000000000002E-2</v>
      </c>
    </row>
    <row r="478" spans="2:15" x14ac:dyDescent="0.25">
      <c r="B478" s="999"/>
      <c r="C478" s="528"/>
      <c r="D478" s="633" t="str">
        <f>'19 работа техники'!AB388</f>
        <v>Керосин</v>
      </c>
      <c r="E478" s="702" t="str">
        <f>'19 работа техники'!AC388</f>
        <v>2732</v>
      </c>
      <c r="F478" s="638"/>
      <c r="G478" s="638"/>
      <c r="H478" s="638"/>
      <c r="I478" s="638"/>
      <c r="J478" s="638"/>
      <c r="K478" s="638"/>
      <c r="L478" s="638">
        <f>'19 работа техники'!AD195+'20 въезд-выезд авто'!AG150</f>
        <v>1.4100000000000001E-2</v>
      </c>
      <c r="M478" s="638">
        <f>'19 работа техники'!AE195+'20 въезд-выезд авто'!AH150</f>
        <v>1.8200000000000001E-2</v>
      </c>
      <c r="N478" s="682">
        <f>'19 работа техники'!AD388+'20 въезд-выезд авто'!AG305</f>
        <v>1.4100000000000001E-2</v>
      </c>
      <c r="O478" s="682">
        <f>'19 работа техники'!AE388+'20 въезд-выезд авто'!AH305</f>
        <v>6.6099999999999992E-2</v>
      </c>
    </row>
    <row r="479" spans="2:15" x14ac:dyDescent="0.25">
      <c r="B479" s="999"/>
      <c r="C479" s="528"/>
      <c r="D479" s="633" t="str">
        <f>'19 работа техники'!AB389</f>
        <v xml:space="preserve">Углерод </v>
      </c>
      <c r="E479" s="702" t="str">
        <f>'19 работа техники'!AC389</f>
        <v>0328</v>
      </c>
      <c r="F479" s="638"/>
      <c r="G479" s="638"/>
      <c r="H479" s="638"/>
      <c r="I479" s="638"/>
      <c r="J479" s="638"/>
      <c r="K479" s="638"/>
      <c r="L479" s="638">
        <f>'19 работа техники'!AD196+'20 въезд-выезд авто'!AG152</f>
        <v>6.6E-3</v>
      </c>
      <c r="M479" s="638">
        <f>'19 работа техники'!AE196+'20 въезд-выезд авто'!AH152</f>
        <v>1.2529999999999999E-2</v>
      </c>
      <c r="N479" s="682">
        <f>'19 работа техники'!AD389+'20 въезд-выезд авто'!AG307</f>
        <v>6.6E-3</v>
      </c>
      <c r="O479" s="682">
        <f>'19 работа техники'!AE389+'20 въезд-выезд авто'!AH307</f>
        <v>4.2430000000000002E-2</v>
      </c>
    </row>
    <row r="480" spans="2:15" x14ac:dyDescent="0.25">
      <c r="B480" s="999"/>
      <c r="C480" s="529"/>
      <c r="D480" s="640" t="str">
        <f>'19 работа техники'!AB390</f>
        <v>Углерода оксид</v>
      </c>
      <c r="E480" s="703" t="str">
        <f>'19 работа техники'!AC390</f>
        <v>0337</v>
      </c>
      <c r="F480" s="645"/>
      <c r="G480" s="645"/>
      <c r="H480" s="645"/>
      <c r="I480" s="645"/>
      <c r="J480" s="645"/>
      <c r="K480" s="645"/>
      <c r="L480" s="645">
        <f>'19 работа техники'!AD197+'20 въезд-выезд авто'!AG151</f>
        <v>7.5600000000000001E-2</v>
      </c>
      <c r="M480" s="645">
        <f>'19 работа техники'!AE197+'20 въезд-выезд авто'!AH151</f>
        <v>7.0699999999999999E-2</v>
      </c>
      <c r="N480" s="660">
        <f>'19 работа техники'!AD390+'20 въезд-выезд авто'!AG306</f>
        <v>7.5600000000000001E-2</v>
      </c>
      <c r="O480" s="660">
        <f>'19 работа техники'!AE390+'20 въезд-выезд авто'!AH306</f>
        <v>0.24759999999999999</v>
      </c>
    </row>
    <row r="481" spans="2:15" ht="16.5" customHeight="1" x14ac:dyDescent="0.25">
      <c r="B481" s="998" t="s">
        <v>1179</v>
      </c>
      <c r="C481" s="525" t="s">
        <v>475</v>
      </c>
      <c r="D481" s="626" t="str">
        <f>'19 работа техники'!AB392</f>
        <v>Азота диоксид</v>
      </c>
      <c r="E481" s="701" t="str">
        <f>'19 работа техники'!AC392</f>
        <v>0301</v>
      </c>
      <c r="F481" s="631"/>
      <c r="G481" s="631"/>
      <c r="H481" s="631"/>
      <c r="I481" s="631"/>
      <c r="J481" s="631"/>
      <c r="K481" s="631"/>
      <c r="L481" s="631">
        <f>'19 работа техники'!AD199+'20 въезд-выезд авто'!AG154</f>
        <v>0.04</v>
      </c>
      <c r="M481" s="631">
        <f>'19 работа техники'!AE199+'20 въезд-выезд авто'!AH154</f>
        <v>6.4199999999999993E-2</v>
      </c>
      <c r="N481" s="681">
        <f>'19 работа техники'!AD392+'20 въезд-выезд авто'!AG309</f>
        <v>0.04</v>
      </c>
      <c r="O481" s="681">
        <f>'19 работа техники'!AE392+'20 въезд-выезд авто'!AH309</f>
        <v>0.25650000000000001</v>
      </c>
    </row>
    <row r="482" spans="2:15" x14ac:dyDescent="0.25">
      <c r="B482" s="999"/>
      <c r="C482" s="528" t="s">
        <v>166</v>
      </c>
      <c r="D482" s="633" t="str">
        <f>'19 работа техники'!AB393</f>
        <v>Азота оксид</v>
      </c>
      <c r="E482" s="702" t="str">
        <f>'19 работа техники'!AC393</f>
        <v>0304</v>
      </c>
      <c r="F482" s="638"/>
      <c r="G482" s="638"/>
      <c r="H482" s="638"/>
      <c r="I482" s="638"/>
      <c r="J482" s="638"/>
      <c r="K482" s="638"/>
      <c r="L482" s="638">
        <f>'19 работа техники'!AD200+'20 въезд-выезд авто'!AG155</f>
        <v>6.5000000000000006E-3</v>
      </c>
      <c r="M482" s="638">
        <f>'19 работа техники'!AE200+'20 въезд-выезд авто'!AH155</f>
        <v>1.0499999999999999E-2</v>
      </c>
      <c r="N482" s="682">
        <f>'19 работа техники'!AD393+'20 въезд-выезд авто'!AG310</f>
        <v>6.5000000000000006E-3</v>
      </c>
      <c r="O482" s="682">
        <f>'19 работа техники'!AE393+'20 въезд-выезд авто'!AH310</f>
        <v>4.1600000000000005E-2</v>
      </c>
    </row>
    <row r="483" spans="2:15" x14ac:dyDescent="0.25">
      <c r="B483" s="999"/>
      <c r="C483" s="528"/>
      <c r="D483" s="633" t="str">
        <f>'19 работа техники'!AB394</f>
        <v>Серы диоксид</v>
      </c>
      <c r="E483" s="702" t="str">
        <f>'19 работа техники'!AC394</f>
        <v>0330</v>
      </c>
      <c r="F483" s="638"/>
      <c r="G483" s="638"/>
      <c r="H483" s="638"/>
      <c r="I483" s="638"/>
      <c r="J483" s="638"/>
      <c r="K483" s="638"/>
      <c r="L483" s="638">
        <f>'19 работа техники'!AD201+'20 въезд-выезд авто'!AG156</f>
        <v>4.1999999999999997E-3</v>
      </c>
      <c r="M483" s="638">
        <f>'19 работа техники'!AE201+'20 въезд-выезд авто'!AH156</f>
        <v>7.5100000000000002E-3</v>
      </c>
      <c r="N483" s="682">
        <f>'19 работа техники'!AD394+'20 въезд-выезд авто'!AG311</f>
        <v>4.1999999999999997E-3</v>
      </c>
      <c r="O483" s="682">
        <f>'19 работа техники'!AE394+'20 въезд-выезд авто'!AH311</f>
        <v>2.7790000000000002E-2</v>
      </c>
    </row>
    <row r="484" spans="2:15" x14ac:dyDescent="0.25">
      <c r="B484" s="999"/>
      <c r="C484" s="528"/>
      <c r="D484" s="633" t="str">
        <f>'19 работа техники'!AB395</f>
        <v>Керосин</v>
      </c>
      <c r="E484" s="702" t="str">
        <f>'19 работа техники'!AC395</f>
        <v>2732</v>
      </c>
      <c r="F484" s="638"/>
      <c r="G484" s="638"/>
      <c r="H484" s="638"/>
      <c r="I484" s="638"/>
      <c r="J484" s="638"/>
      <c r="K484" s="638"/>
      <c r="L484" s="638">
        <f>'19 работа техники'!AD202+'20 въезд-выезд авто'!AG157</f>
        <v>1.4100000000000001E-2</v>
      </c>
      <c r="M484" s="638">
        <f>'19 работа техники'!AE202+'20 въезд-выезд авто'!AH157</f>
        <v>1.8200000000000001E-2</v>
      </c>
      <c r="N484" s="682">
        <f>'19 работа техники'!AD395+'20 въезд-выезд авто'!AG312</f>
        <v>1.4100000000000001E-2</v>
      </c>
      <c r="O484" s="682">
        <f>'19 работа техники'!AE395+'20 въезд-выезд авто'!AH312</f>
        <v>6.6099999999999992E-2</v>
      </c>
    </row>
    <row r="485" spans="2:15" x14ac:dyDescent="0.25">
      <c r="B485" s="999"/>
      <c r="C485" s="528"/>
      <c r="D485" s="633" t="str">
        <f>'19 работа техники'!AB396</f>
        <v xml:space="preserve">Углерод </v>
      </c>
      <c r="E485" s="702" t="str">
        <f>'19 работа техники'!AC396</f>
        <v>0328</v>
      </c>
      <c r="F485" s="638"/>
      <c r="G485" s="638"/>
      <c r="H485" s="638"/>
      <c r="I485" s="638"/>
      <c r="J485" s="638"/>
      <c r="K485" s="638"/>
      <c r="L485" s="638">
        <f>'19 работа техники'!AD203+'20 въезд-выезд авто'!AG159</f>
        <v>6.6E-3</v>
      </c>
      <c r="M485" s="638">
        <f>'19 работа техники'!AE203+'20 въезд-выезд авто'!AH159</f>
        <v>1.2529999999999999E-2</v>
      </c>
      <c r="N485" s="682">
        <f>'19 работа техники'!AD396+'20 въезд-выезд авто'!AG314</f>
        <v>6.6E-3</v>
      </c>
      <c r="O485" s="682">
        <f>'19 работа техники'!AE396+'20 въезд-выезд авто'!AH314</f>
        <v>4.2430000000000002E-2</v>
      </c>
    </row>
    <row r="486" spans="2:15" x14ac:dyDescent="0.25">
      <c r="B486" s="999"/>
      <c r="C486" s="529"/>
      <c r="D486" s="640" t="str">
        <f>'19 работа техники'!AB397</f>
        <v>Углерода оксид</v>
      </c>
      <c r="E486" s="703" t="str">
        <f>'19 работа техники'!AC397</f>
        <v>0337</v>
      </c>
      <c r="F486" s="645"/>
      <c r="G486" s="645"/>
      <c r="H486" s="645"/>
      <c r="I486" s="645"/>
      <c r="J486" s="645"/>
      <c r="K486" s="645"/>
      <c r="L486" s="645">
        <f>'19 работа техники'!AD204+'20 въезд-выезд авто'!AG158</f>
        <v>7.5600000000000001E-2</v>
      </c>
      <c r="M486" s="645">
        <f>'19 работа техники'!AE204+'20 въезд-выезд авто'!AH158</f>
        <v>7.0699999999999999E-2</v>
      </c>
      <c r="N486" s="660">
        <f>'19 работа техники'!AD397+'20 въезд-выезд авто'!AG313</f>
        <v>7.5600000000000001E-2</v>
      </c>
      <c r="O486" s="660">
        <f>'19 работа техники'!AE397+'20 въезд-выезд авто'!AH313</f>
        <v>0.24759999999999999</v>
      </c>
    </row>
    <row r="487" spans="2:15" ht="16.5" customHeight="1" x14ac:dyDescent="0.25">
      <c r="B487" s="998" t="s">
        <v>1180</v>
      </c>
      <c r="C487" s="525" t="s">
        <v>479</v>
      </c>
      <c r="D487" s="626" t="str">
        <f>'19 работа техники'!AB399</f>
        <v>Азота диоксид</v>
      </c>
      <c r="E487" s="701" t="str">
        <f>'19 работа техники'!AC399</f>
        <v>0301</v>
      </c>
      <c r="F487" s="631"/>
      <c r="G487" s="631"/>
      <c r="H487" s="631"/>
      <c r="I487" s="631"/>
      <c r="J487" s="631"/>
      <c r="K487" s="631"/>
      <c r="L487" s="631">
        <f>'19 работа техники'!AD206</f>
        <v>3.09E-2</v>
      </c>
      <c r="M487" s="631">
        <f>'19 работа техники'!AE206</f>
        <v>6.1899999999999997E-2</v>
      </c>
      <c r="N487" s="631">
        <f>'19 работа техники'!AD399</f>
        <v>3.09E-2</v>
      </c>
      <c r="O487" s="631">
        <f>'19 работа техники'!AE399</f>
        <v>0.25140000000000001</v>
      </c>
    </row>
    <row r="488" spans="2:15" x14ac:dyDescent="0.25">
      <c r="B488" s="999"/>
      <c r="C488" s="528"/>
      <c r="D488" s="633" t="str">
        <f>'19 работа техники'!AB400</f>
        <v>Азота оксид</v>
      </c>
      <c r="E488" s="702" t="str">
        <f>'19 работа техники'!AC400</f>
        <v>0304</v>
      </c>
      <c r="F488" s="638"/>
      <c r="G488" s="638"/>
      <c r="H488" s="638"/>
      <c r="I488" s="638"/>
      <c r="J488" s="638"/>
      <c r="K488" s="638"/>
      <c r="L488" s="638">
        <f>'19 работа техники'!AD207</f>
        <v>5.0000000000000001E-3</v>
      </c>
      <c r="M488" s="638">
        <f>'19 работа техники'!AE207</f>
        <v>1.01E-2</v>
      </c>
      <c r="N488" s="638">
        <f>'19 работа техники'!AD400</f>
        <v>5.0000000000000001E-3</v>
      </c>
      <c r="O488" s="638">
        <f>'19 работа техники'!AE400</f>
        <v>4.0800000000000003E-2</v>
      </c>
    </row>
    <row r="489" spans="2:15" x14ac:dyDescent="0.25">
      <c r="B489" s="999"/>
      <c r="C489" s="528"/>
      <c r="D489" s="633" t="str">
        <f>'19 работа техники'!AB401</f>
        <v>Серы диоксид</v>
      </c>
      <c r="E489" s="702" t="str">
        <f>'19 работа техники'!AC401</f>
        <v>0330</v>
      </c>
      <c r="F489" s="638"/>
      <c r="G489" s="638"/>
      <c r="H489" s="638"/>
      <c r="I489" s="638"/>
      <c r="J489" s="638"/>
      <c r="K489" s="638"/>
      <c r="L489" s="638">
        <f>'19 работа техники'!AD208</f>
        <v>3.3999999999999998E-3</v>
      </c>
      <c r="M489" s="638">
        <f>'19 работа техники'!AE208</f>
        <v>7.3000000000000001E-3</v>
      </c>
      <c r="N489" s="638">
        <f>'19 работа техники'!AD401</f>
        <v>3.3999999999999998E-3</v>
      </c>
      <c r="O489" s="638">
        <f>'19 работа техники'!AE401</f>
        <v>2.7300000000000001E-2</v>
      </c>
    </row>
    <row r="490" spans="2:15" x14ac:dyDescent="0.25">
      <c r="B490" s="999"/>
      <c r="C490" s="528"/>
      <c r="D490" s="633" t="str">
        <f>'19 работа техники'!AB402</f>
        <v>Керосин</v>
      </c>
      <c r="E490" s="702" t="str">
        <f>'19 работа техники'!AC402</f>
        <v>2732</v>
      </c>
      <c r="F490" s="638"/>
      <c r="G490" s="638"/>
      <c r="H490" s="638"/>
      <c r="I490" s="638"/>
      <c r="J490" s="638"/>
      <c r="K490" s="638"/>
      <c r="L490" s="638">
        <f>'19 работа техники'!AD209</f>
        <v>7.9000000000000008E-3</v>
      </c>
      <c r="M490" s="638">
        <f>'19 работа техники'!AE209</f>
        <v>1.66E-2</v>
      </c>
      <c r="N490" s="638">
        <f>'19 работа техники'!AD402</f>
        <v>7.9000000000000008E-3</v>
      </c>
      <c r="O490" s="638">
        <f>'19 работа техники'!AE402</f>
        <v>6.2799999999999995E-2</v>
      </c>
    </row>
    <row r="491" spans="2:15" x14ac:dyDescent="0.25">
      <c r="B491" s="999"/>
      <c r="C491" s="528"/>
      <c r="D491" s="633" t="str">
        <f>'19 работа техники'!AB403</f>
        <v xml:space="preserve">Углерод </v>
      </c>
      <c r="E491" s="702" t="str">
        <f>'19 работа техники'!AC403</f>
        <v>0328</v>
      </c>
      <c r="F491" s="638"/>
      <c r="G491" s="638"/>
      <c r="H491" s="638"/>
      <c r="I491" s="638"/>
      <c r="J491" s="638"/>
      <c r="K491" s="638"/>
      <c r="L491" s="638">
        <f>'19 работа техники'!AD210</f>
        <v>5.7000000000000002E-3</v>
      </c>
      <c r="M491" s="638">
        <f>'19 работа техники'!AE210</f>
        <v>1.23E-2</v>
      </c>
      <c r="N491" s="638">
        <f>'19 работа техники'!AD403</f>
        <v>5.7000000000000002E-3</v>
      </c>
      <c r="O491" s="638">
        <f>'19 работа техники'!AE403</f>
        <v>4.2000000000000003E-2</v>
      </c>
    </row>
    <row r="492" spans="2:15" x14ac:dyDescent="0.25">
      <c r="B492" s="999"/>
      <c r="C492" s="529"/>
      <c r="D492" s="640" t="str">
        <f>'19 работа техники'!AB404</f>
        <v>Углерода оксид</v>
      </c>
      <c r="E492" s="703" t="str">
        <f>'19 работа техники'!AC404</f>
        <v>0337</v>
      </c>
      <c r="F492" s="645"/>
      <c r="G492" s="645"/>
      <c r="H492" s="645"/>
      <c r="I492" s="645"/>
      <c r="J492" s="645"/>
      <c r="K492" s="645"/>
      <c r="L492" s="645">
        <f>'19 работа техники'!AD211</f>
        <v>2.92E-2</v>
      </c>
      <c r="M492" s="645">
        <f>'19 работа техники'!AE211</f>
        <v>5.8999999999999997E-2</v>
      </c>
      <c r="N492" s="645">
        <f>'19 работа техники'!AD404</f>
        <v>2.92E-2</v>
      </c>
      <c r="O492" s="645">
        <f>'19 работа техники'!AE404</f>
        <v>0.2238</v>
      </c>
    </row>
    <row r="493" spans="2:15" ht="16.5" customHeight="1" x14ac:dyDescent="0.25">
      <c r="B493" s="998" t="s">
        <v>1181</v>
      </c>
      <c r="C493" s="525" t="s">
        <v>481</v>
      </c>
      <c r="D493" s="626" t="str">
        <f>'19 работа техники'!AB406</f>
        <v>Азота диоксид</v>
      </c>
      <c r="E493" s="701" t="str">
        <f>'19 работа техники'!AC406</f>
        <v>0301</v>
      </c>
      <c r="F493" s="631"/>
      <c r="G493" s="631"/>
      <c r="H493" s="631"/>
      <c r="I493" s="631"/>
      <c r="J493" s="631"/>
      <c r="K493" s="631"/>
      <c r="L493" s="631"/>
      <c r="M493" s="631"/>
      <c r="N493" s="631">
        <f>'19 работа техники'!AD406</f>
        <v>3.09E-2</v>
      </c>
      <c r="O493" s="631">
        <f>'19 работа техники'!AE406</f>
        <v>0.1191</v>
      </c>
    </row>
    <row r="494" spans="2:15" x14ac:dyDescent="0.25">
      <c r="B494" s="999"/>
      <c r="C494" s="528"/>
      <c r="D494" s="633" t="str">
        <f>'19 работа техники'!AB407</f>
        <v>Азота оксид</v>
      </c>
      <c r="E494" s="702" t="str">
        <f>'19 работа техники'!AC407</f>
        <v>0304</v>
      </c>
      <c r="F494" s="638"/>
      <c r="G494" s="638"/>
      <c r="H494" s="638"/>
      <c r="I494" s="638"/>
      <c r="J494" s="638"/>
      <c r="K494" s="638"/>
      <c r="L494" s="638"/>
      <c r="M494" s="638"/>
      <c r="N494" s="638">
        <f>'19 работа техники'!AD407</f>
        <v>5.0000000000000001E-3</v>
      </c>
      <c r="O494" s="638">
        <f>'19 работа техники'!AE407</f>
        <v>1.9400000000000001E-2</v>
      </c>
    </row>
    <row r="495" spans="2:15" x14ac:dyDescent="0.25">
      <c r="B495" s="999"/>
      <c r="C495" s="528"/>
      <c r="D495" s="633" t="str">
        <f>'19 работа техники'!AB408</f>
        <v>Серы диоксид</v>
      </c>
      <c r="E495" s="702" t="str">
        <f>'19 работа техники'!AC408</f>
        <v>0330</v>
      </c>
      <c r="F495" s="638"/>
      <c r="G495" s="638"/>
      <c r="H495" s="638"/>
      <c r="I495" s="638"/>
      <c r="J495" s="638"/>
      <c r="K495" s="638"/>
      <c r="L495" s="638"/>
      <c r="M495" s="638"/>
      <c r="N495" s="638">
        <f>'19 работа техники'!AD408</f>
        <v>3.3999999999999998E-3</v>
      </c>
      <c r="O495" s="638">
        <f>'19 работа техники'!AE408</f>
        <v>1.21E-2</v>
      </c>
    </row>
    <row r="496" spans="2:15" x14ac:dyDescent="0.25">
      <c r="B496" s="999"/>
      <c r="C496" s="528"/>
      <c r="D496" s="633" t="str">
        <f>'19 работа техники'!AB409</f>
        <v>Керосин</v>
      </c>
      <c r="E496" s="702" t="str">
        <f>'19 работа техники'!AC409</f>
        <v>2732</v>
      </c>
      <c r="F496" s="638"/>
      <c r="G496" s="638"/>
      <c r="H496" s="638"/>
      <c r="I496" s="638"/>
      <c r="J496" s="638"/>
      <c r="K496" s="638"/>
      <c r="L496" s="638"/>
      <c r="M496" s="638"/>
      <c r="N496" s="638">
        <f>'19 работа техники'!AD409</f>
        <v>7.9000000000000008E-3</v>
      </c>
      <c r="O496" s="638">
        <f>'19 работа техники'!AE409</f>
        <v>2.8199999999999999E-2</v>
      </c>
    </row>
    <row r="497" spans="2:15" x14ac:dyDescent="0.25">
      <c r="B497" s="999"/>
      <c r="C497" s="528"/>
      <c r="D497" s="633" t="str">
        <f>'19 работа техники'!AB410</f>
        <v xml:space="preserve">Углерод </v>
      </c>
      <c r="E497" s="702" t="str">
        <f>'19 работа техники'!AC410</f>
        <v>0328</v>
      </c>
      <c r="F497" s="638"/>
      <c r="G497" s="638"/>
      <c r="H497" s="638"/>
      <c r="I497" s="638"/>
      <c r="J497" s="638"/>
      <c r="K497" s="638"/>
      <c r="L497" s="638"/>
      <c r="M497" s="638"/>
      <c r="N497" s="638">
        <f>'19 работа техники'!AD410</f>
        <v>5.7000000000000002E-3</v>
      </c>
      <c r="O497" s="638">
        <f>'19 работа техники'!AE410</f>
        <v>1.6400000000000001E-2</v>
      </c>
    </row>
    <row r="498" spans="2:15" x14ac:dyDescent="0.25">
      <c r="B498" s="999"/>
      <c r="C498" s="529"/>
      <c r="D498" s="640" t="str">
        <f>'19 работа техники'!AB411</f>
        <v>Углерода оксид</v>
      </c>
      <c r="E498" s="703" t="str">
        <f>'19 работа техники'!AC411</f>
        <v>0337</v>
      </c>
      <c r="F498" s="645"/>
      <c r="G498" s="645"/>
      <c r="H498" s="645"/>
      <c r="I498" s="645"/>
      <c r="J498" s="645"/>
      <c r="K498" s="645"/>
      <c r="L498" s="645"/>
      <c r="M498" s="645"/>
      <c r="N498" s="645">
        <f>'19 работа техники'!AD411</f>
        <v>2.92E-2</v>
      </c>
      <c r="O498" s="645">
        <f>'19 работа техники'!AE411</f>
        <v>0.10009999999999999</v>
      </c>
    </row>
    <row r="499" spans="2:15" ht="16.5" customHeight="1" x14ac:dyDescent="0.25">
      <c r="B499" s="998" t="s">
        <v>1182</v>
      </c>
      <c r="C499" s="525" t="s">
        <v>482</v>
      </c>
      <c r="D499" s="626" t="str">
        <f>'19 работа техники'!AB413</f>
        <v>Азота диоксид</v>
      </c>
      <c r="E499" s="701" t="str">
        <f>'19 работа техники'!AC413</f>
        <v>0301</v>
      </c>
      <c r="F499" s="631"/>
      <c r="G499" s="631"/>
      <c r="H499" s="631"/>
      <c r="I499" s="631"/>
      <c r="J499" s="631"/>
      <c r="K499" s="631"/>
      <c r="L499" s="631"/>
      <c r="M499" s="631"/>
      <c r="N499" s="631">
        <f>'19 работа техники'!AD413</f>
        <v>3.09E-2</v>
      </c>
      <c r="O499" s="631">
        <f>'19 работа техники'!AE413</f>
        <v>0.1191</v>
      </c>
    </row>
    <row r="500" spans="2:15" x14ac:dyDescent="0.25">
      <c r="B500" s="999"/>
      <c r="C500" s="528"/>
      <c r="D500" s="633" t="str">
        <f>'19 работа техники'!AB414</f>
        <v>Азота оксид</v>
      </c>
      <c r="E500" s="702" t="str">
        <f>'19 работа техники'!AC414</f>
        <v>0304</v>
      </c>
      <c r="F500" s="638"/>
      <c r="G500" s="638"/>
      <c r="H500" s="638"/>
      <c r="I500" s="638"/>
      <c r="J500" s="638"/>
      <c r="K500" s="638"/>
      <c r="L500" s="638"/>
      <c r="M500" s="638"/>
      <c r="N500" s="638">
        <f>'19 работа техники'!AD414</f>
        <v>5.0000000000000001E-3</v>
      </c>
      <c r="O500" s="638">
        <f>'19 работа техники'!AE414</f>
        <v>1.9400000000000001E-2</v>
      </c>
    </row>
    <row r="501" spans="2:15" x14ac:dyDescent="0.25">
      <c r="B501" s="999"/>
      <c r="C501" s="528"/>
      <c r="D501" s="633" t="str">
        <f>'19 работа техники'!AB415</f>
        <v>Серы диоксид</v>
      </c>
      <c r="E501" s="702" t="str">
        <f>'19 работа техники'!AC415</f>
        <v>0330</v>
      </c>
      <c r="F501" s="638"/>
      <c r="G501" s="638"/>
      <c r="H501" s="638"/>
      <c r="I501" s="638"/>
      <c r="J501" s="638"/>
      <c r="K501" s="638"/>
      <c r="L501" s="638"/>
      <c r="M501" s="638"/>
      <c r="N501" s="638">
        <f>'19 работа техники'!AD415</f>
        <v>3.3999999999999998E-3</v>
      </c>
      <c r="O501" s="638">
        <f>'19 работа техники'!AE415</f>
        <v>1.21E-2</v>
      </c>
    </row>
    <row r="502" spans="2:15" x14ac:dyDescent="0.25">
      <c r="B502" s="999"/>
      <c r="C502" s="528"/>
      <c r="D502" s="633" t="str">
        <f>'19 работа техники'!AB416</f>
        <v>Керосин</v>
      </c>
      <c r="E502" s="702" t="str">
        <f>'19 работа техники'!AC416</f>
        <v>2732</v>
      </c>
      <c r="F502" s="638"/>
      <c r="G502" s="638"/>
      <c r="H502" s="638"/>
      <c r="I502" s="638"/>
      <c r="J502" s="638"/>
      <c r="K502" s="638"/>
      <c r="L502" s="638"/>
      <c r="M502" s="638"/>
      <c r="N502" s="638">
        <f>'19 работа техники'!AD416</f>
        <v>7.9000000000000008E-3</v>
      </c>
      <c r="O502" s="638">
        <f>'19 работа техники'!AE416</f>
        <v>2.8199999999999999E-2</v>
      </c>
    </row>
    <row r="503" spans="2:15" x14ac:dyDescent="0.25">
      <c r="B503" s="999"/>
      <c r="C503" s="528"/>
      <c r="D503" s="633" t="str">
        <f>'19 работа техники'!AB417</f>
        <v xml:space="preserve">Углерод </v>
      </c>
      <c r="E503" s="702" t="str">
        <f>'19 работа техники'!AC417</f>
        <v>0328</v>
      </c>
      <c r="F503" s="638"/>
      <c r="G503" s="638"/>
      <c r="H503" s="638"/>
      <c r="I503" s="638"/>
      <c r="J503" s="638"/>
      <c r="K503" s="638"/>
      <c r="L503" s="638"/>
      <c r="M503" s="638"/>
      <c r="N503" s="638">
        <f>'19 работа техники'!AD417</f>
        <v>5.7000000000000002E-3</v>
      </c>
      <c r="O503" s="638">
        <f>'19 работа техники'!AE417</f>
        <v>1.6400000000000001E-2</v>
      </c>
    </row>
    <row r="504" spans="2:15" x14ac:dyDescent="0.25">
      <c r="B504" s="999"/>
      <c r="C504" s="529"/>
      <c r="D504" s="640" t="str">
        <f>'19 работа техники'!AB418</f>
        <v>Углерода оксид</v>
      </c>
      <c r="E504" s="703" t="str">
        <f>'19 работа техники'!AC418</f>
        <v>0337</v>
      </c>
      <c r="F504" s="645"/>
      <c r="G504" s="645"/>
      <c r="H504" s="645"/>
      <c r="I504" s="645"/>
      <c r="J504" s="645"/>
      <c r="K504" s="645"/>
      <c r="L504" s="645"/>
      <c r="M504" s="645"/>
      <c r="N504" s="645">
        <f>'19 работа техники'!AD418</f>
        <v>2.92E-2</v>
      </c>
      <c r="O504" s="645">
        <f>'19 работа техники'!AE418</f>
        <v>0.10009999999999999</v>
      </c>
    </row>
    <row r="505" spans="2:15" ht="16.5" customHeight="1" x14ac:dyDescent="0.25">
      <c r="B505" s="998" t="s">
        <v>1183</v>
      </c>
      <c r="C505" s="525" t="s">
        <v>483</v>
      </c>
      <c r="D505" s="626" t="str">
        <f>'19 работа техники'!AB420</f>
        <v>Азота диоксид</v>
      </c>
      <c r="E505" s="701" t="str">
        <f>'19 работа техники'!AC420</f>
        <v>0301</v>
      </c>
      <c r="F505" s="631"/>
      <c r="G505" s="631"/>
      <c r="H505" s="631"/>
      <c r="I505" s="631"/>
      <c r="J505" s="631"/>
      <c r="K505" s="631"/>
      <c r="L505" s="631"/>
      <c r="M505" s="631"/>
      <c r="N505" s="681">
        <f>'19 работа техники'!AD420+'20 въезд-выезд авто'!AG316</f>
        <v>0.04</v>
      </c>
      <c r="O505" s="681">
        <f>'19 работа техники'!AE420+'20 въезд-выезд авто'!AH316</f>
        <v>0.12</v>
      </c>
    </row>
    <row r="506" spans="2:15" x14ac:dyDescent="0.25">
      <c r="B506" s="999"/>
      <c r="C506" s="528" t="s">
        <v>492</v>
      </c>
      <c r="D506" s="633" t="str">
        <f>'19 работа техники'!AB421</f>
        <v>Азота оксид</v>
      </c>
      <c r="E506" s="702" t="str">
        <f>'19 работа техники'!AC421</f>
        <v>0304</v>
      </c>
      <c r="F506" s="638"/>
      <c r="G506" s="638"/>
      <c r="H506" s="638"/>
      <c r="I506" s="638"/>
      <c r="J506" s="638"/>
      <c r="K506" s="638"/>
      <c r="L506" s="638"/>
      <c r="M506" s="638"/>
      <c r="N506" s="682">
        <f>'19 работа техники'!AD421+'20 въезд-выезд авто'!AG317</f>
        <v>6.5000000000000006E-3</v>
      </c>
      <c r="O506" s="682">
        <f>'19 работа техники'!AE421+'20 въезд-выезд авто'!AH317</f>
        <v>1.95E-2</v>
      </c>
    </row>
    <row r="507" spans="2:15" x14ac:dyDescent="0.25">
      <c r="B507" s="999"/>
      <c r="C507" s="528"/>
      <c r="D507" s="633" t="str">
        <f>'19 работа техники'!AB422</f>
        <v>Серы диоксид</v>
      </c>
      <c r="E507" s="702" t="str">
        <f>'19 работа техники'!AC422</f>
        <v>0330</v>
      </c>
      <c r="F507" s="638"/>
      <c r="G507" s="638"/>
      <c r="H507" s="638"/>
      <c r="I507" s="638"/>
      <c r="J507" s="638"/>
      <c r="K507" s="638"/>
      <c r="L507" s="638"/>
      <c r="M507" s="638"/>
      <c r="N507" s="682">
        <f>'19 работа техники'!AD422+'20 въезд-выезд авто'!AG318</f>
        <v>4.1999999999999997E-3</v>
      </c>
      <c r="O507" s="682">
        <f>'19 работа техники'!AE422+'20 въезд-выезд авто'!AH318</f>
        <v>1.221E-2</v>
      </c>
    </row>
    <row r="508" spans="2:15" x14ac:dyDescent="0.25">
      <c r="B508" s="999"/>
      <c r="C508" s="528"/>
      <c r="D508" s="633" t="str">
        <f>'19 работа техники'!AB423</f>
        <v>Керосин</v>
      </c>
      <c r="E508" s="702" t="str">
        <f>'19 работа техники'!AC423</f>
        <v>2732</v>
      </c>
      <c r="F508" s="638"/>
      <c r="G508" s="638"/>
      <c r="H508" s="638"/>
      <c r="I508" s="638"/>
      <c r="J508" s="638"/>
      <c r="K508" s="638"/>
      <c r="L508" s="638"/>
      <c r="M508" s="638"/>
      <c r="N508" s="682">
        <f>'19 работа техники'!AD423+'20 въезд-выезд авто'!AG319</f>
        <v>1.4100000000000001E-2</v>
      </c>
      <c r="O508" s="682">
        <f>'19 работа техники'!AE423+'20 въезд-выезд авто'!AH319</f>
        <v>2.86E-2</v>
      </c>
    </row>
    <row r="509" spans="2:15" x14ac:dyDescent="0.25">
      <c r="B509" s="999"/>
      <c r="C509" s="528"/>
      <c r="D509" s="633" t="str">
        <f>'19 работа техники'!AB424</f>
        <v xml:space="preserve">Углерод </v>
      </c>
      <c r="E509" s="702" t="str">
        <f>'19 работа техники'!AC424</f>
        <v>0328</v>
      </c>
      <c r="F509" s="638"/>
      <c r="G509" s="638"/>
      <c r="H509" s="638"/>
      <c r="I509" s="638"/>
      <c r="J509" s="638"/>
      <c r="K509" s="638"/>
      <c r="L509" s="638"/>
      <c r="M509" s="638"/>
      <c r="N509" s="682">
        <f>'19 работа техники'!AD424+'20 въезд-выезд авто'!AG321</f>
        <v>6.6E-3</v>
      </c>
      <c r="O509" s="682">
        <f>'19 работа техники'!AE424+'20 въезд-выезд авто'!AH321</f>
        <v>1.644E-2</v>
      </c>
    </row>
    <row r="510" spans="2:15" x14ac:dyDescent="0.25">
      <c r="B510" s="999"/>
      <c r="C510" s="529"/>
      <c r="D510" s="640" t="str">
        <f>'19 работа техники'!AB425</f>
        <v>Углерода оксид</v>
      </c>
      <c r="E510" s="703" t="str">
        <f>'19 работа техники'!AC425</f>
        <v>0337</v>
      </c>
      <c r="F510" s="645"/>
      <c r="G510" s="645"/>
      <c r="H510" s="645"/>
      <c r="I510" s="645"/>
      <c r="J510" s="645"/>
      <c r="K510" s="645"/>
      <c r="L510" s="645"/>
      <c r="M510" s="645"/>
      <c r="N510" s="660">
        <f>'19 работа техники'!AD425+'20 въезд-выезд авто'!AG320</f>
        <v>7.5600000000000001E-2</v>
      </c>
      <c r="O510" s="660">
        <f>'19 работа техники'!AE425+'20 въезд-выезд авто'!AH320</f>
        <v>0.1032</v>
      </c>
    </row>
    <row r="511" spans="2:15" ht="16.5" customHeight="1" x14ac:dyDescent="0.25">
      <c r="B511" s="998" t="s">
        <v>1184</v>
      </c>
      <c r="C511" s="525" t="s">
        <v>500</v>
      </c>
      <c r="D511" s="626" t="str">
        <f>'19 работа техники'!AB427</f>
        <v>Азота диоксид</v>
      </c>
      <c r="E511" s="701" t="str">
        <f>'19 работа техники'!AC427</f>
        <v>0301</v>
      </c>
      <c r="F511" s="631"/>
      <c r="G511" s="631"/>
      <c r="H511" s="631"/>
      <c r="I511" s="631"/>
      <c r="J511" s="631"/>
      <c r="K511" s="631"/>
      <c r="L511" s="631"/>
      <c r="M511" s="631"/>
      <c r="N511" s="681">
        <f>'19 работа техники'!AD427+'20 въезд-выезд авто'!AG323</f>
        <v>0.04</v>
      </c>
      <c r="O511" s="681">
        <f>'19 работа техники'!AE427+'20 въезд-выезд авто'!AH323</f>
        <v>0.12</v>
      </c>
    </row>
    <row r="512" spans="2:15" x14ac:dyDescent="0.25">
      <c r="B512" s="999"/>
      <c r="C512" s="528" t="s">
        <v>1204</v>
      </c>
      <c r="D512" s="633" t="str">
        <f>'19 работа техники'!AB428</f>
        <v>Азота оксид</v>
      </c>
      <c r="E512" s="702" t="str">
        <f>'19 работа техники'!AC428</f>
        <v>0304</v>
      </c>
      <c r="F512" s="638"/>
      <c r="G512" s="638"/>
      <c r="H512" s="638"/>
      <c r="I512" s="638"/>
      <c r="J512" s="638"/>
      <c r="K512" s="638"/>
      <c r="L512" s="638"/>
      <c r="M512" s="638"/>
      <c r="N512" s="682">
        <f>'19 работа техники'!AD428+'20 въезд-выезд авто'!AG324</f>
        <v>6.5000000000000006E-3</v>
      </c>
      <c r="O512" s="682">
        <f>'19 работа техники'!AE428+'20 въезд-выезд авто'!AH324</f>
        <v>1.95E-2</v>
      </c>
    </row>
    <row r="513" spans="2:15" x14ac:dyDescent="0.25">
      <c r="B513" s="999"/>
      <c r="C513" s="528"/>
      <c r="D513" s="633" t="str">
        <f>'19 работа техники'!AB429</f>
        <v>Серы диоксид</v>
      </c>
      <c r="E513" s="702" t="str">
        <f>'19 работа техники'!AC429</f>
        <v>0330</v>
      </c>
      <c r="F513" s="638"/>
      <c r="G513" s="638"/>
      <c r="H513" s="638"/>
      <c r="I513" s="638"/>
      <c r="J513" s="638"/>
      <c r="K513" s="638"/>
      <c r="L513" s="638"/>
      <c r="M513" s="638"/>
      <c r="N513" s="682">
        <f>'19 работа техники'!AD429+'20 въезд-выезд авто'!AG325</f>
        <v>4.1999999999999997E-3</v>
      </c>
      <c r="O513" s="682">
        <f>'19 работа техники'!AE429+'20 въезд-выезд авто'!AH325</f>
        <v>1.221E-2</v>
      </c>
    </row>
    <row r="514" spans="2:15" x14ac:dyDescent="0.25">
      <c r="B514" s="999"/>
      <c r="C514" s="528"/>
      <c r="D514" s="633" t="str">
        <f>'19 работа техники'!AB430</f>
        <v>Керосин</v>
      </c>
      <c r="E514" s="702" t="str">
        <f>'19 работа техники'!AC430</f>
        <v>2732</v>
      </c>
      <c r="F514" s="638"/>
      <c r="G514" s="638"/>
      <c r="H514" s="638"/>
      <c r="I514" s="638"/>
      <c r="J514" s="638"/>
      <c r="K514" s="638"/>
      <c r="L514" s="638"/>
      <c r="M514" s="638"/>
      <c r="N514" s="682">
        <f>'19 работа техники'!AD430+'20 въезд-выезд авто'!AG326</f>
        <v>1.4100000000000001E-2</v>
      </c>
      <c r="O514" s="682">
        <f>'19 работа техники'!AE430+'20 въезд-выезд авто'!AH326</f>
        <v>2.86E-2</v>
      </c>
    </row>
    <row r="515" spans="2:15" x14ac:dyDescent="0.25">
      <c r="B515" s="999"/>
      <c r="C515" s="528"/>
      <c r="D515" s="633" t="str">
        <f>'19 работа техники'!AB431</f>
        <v xml:space="preserve">Углерод </v>
      </c>
      <c r="E515" s="702" t="str">
        <f>'19 работа техники'!AC431</f>
        <v>0328</v>
      </c>
      <c r="F515" s="638"/>
      <c r="G515" s="638"/>
      <c r="H515" s="638"/>
      <c r="I515" s="638"/>
      <c r="J515" s="638"/>
      <c r="K515" s="638"/>
      <c r="L515" s="638"/>
      <c r="M515" s="638"/>
      <c r="N515" s="682">
        <f>'19 работа техники'!AD431+'20 въезд-выезд авто'!AG328</f>
        <v>6.6E-3</v>
      </c>
      <c r="O515" s="682">
        <f>'19 работа техники'!AE431+'20 въезд-выезд авто'!AH328</f>
        <v>1.644E-2</v>
      </c>
    </row>
    <row r="516" spans="2:15" x14ac:dyDescent="0.25">
      <c r="B516" s="999"/>
      <c r="C516" s="529"/>
      <c r="D516" s="640" t="str">
        <f>'19 работа техники'!AB432</f>
        <v>Углерода оксид</v>
      </c>
      <c r="E516" s="703" t="str">
        <f>'19 работа техники'!AC432</f>
        <v>0337</v>
      </c>
      <c r="F516" s="645"/>
      <c r="G516" s="645"/>
      <c r="H516" s="645"/>
      <c r="I516" s="645"/>
      <c r="J516" s="645"/>
      <c r="K516" s="645"/>
      <c r="L516" s="645"/>
      <c r="M516" s="645"/>
      <c r="N516" s="660">
        <f>'19 работа техники'!AD432+'20 въезд-выезд авто'!AG327</f>
        <v>7.5600000000000001E-2</v>
      </c>
      <c r="O516" s="660">
        <f>'19 работа техники'!AE432+'20 въезд-выезд авто'!AH327</f>
        <v>0.1032</v>
      </c>
    </row>
    <row r="517" spans="2:15" ht="16.5" customHeight="1" x14ac:dyDescent="0.25">
      <c r="B517" s="998" t="s">
        <v>1185</v>
      </c>
      <c r="C517" s="525" t="s">
        <v>501</v>
      </c>
      <c r="D517" s="626" t="str">
        <f>'19 работа техники'!AB434</f>
        <v>Азота диоксид</v>
      </c>
      <c r="E517" s="701" t="str">
        <f>'19 работа техники'!AC434</f>
        <v>0301</v>
      </c>
      <c r="F517" s="631"/>
      <c r="G517" s="631"/>
      <c r="H517" s="631"/>
      <c r="I517" s="631"/>
      <c r="J517" s="631"/>
      <c r="K517" s="631"/>
      <c r="L517" s="631"/>
      <c r="M517" s="631"/>
      <c r="N517" s="681">
        <f>'19 работа техники'!AD434+'20 въезд-выезд авто'!AG330</f>
        <v>0.04</v>
      </c>
      <c r="O517" s="681">
        <f>'19 работа техники'!AE434+'20 въезд-выезд авто'!AH330</f>
        <v>0.12</v>
      </c>
    </row>
    <row r="518" spans="2:15" x14ac:dyDescent="0.25">
      <c r="B518" s="999"/>
      <c r="C518" s="528" t="s">
        <v>1204</v>
      </c>
      <c r="D518" s="633" t="str">
        <f>'19 работа техники'!AB435</f>
        <v>Азота оксид</v>
      </c>
      <c r="E518" s="702" t="str">
        <f>'19 работа техники'!AC435</f>
        <v>0304</v>
      </c>
      <c r="F518" s="638"/>
      <c r="G518" s="638"/>
      <c r="H518" s="638"/>
      <c r="I518" s="638"/>
      <c r="J518" s="638"/>
      <c r="K518" s="638"/>
      <c r="L518" s="638"/>
      <c r="M518" s="638"/>
      <c r="N518" s="682">
        <f>'19 работа техники'!AD435+'20 въезд-выезд авто'!AG331</f>
        <v>6.5000000000000006E-3</v>
      </c>
      <c r="O518" s="682">
        <f>'19 работа техники'!AE435+'20 въезд-выезд авто'!AH331</f>
        <v>1.95E-2</v>
      </c>
    </row>
    <row r="519" spans="2:15" x14ac:dyDescent="0.25">
      <c r="B519" s="999"/>
      <c r="C519" s="528"/>
      <c r="D519" s="633" t="str">
        <f>'19 работа техники'!AB436</f>
        <v>Серы диоксид</v>
      </c>
      <c r="E519" s="702" t="str">
        <f>'19 работа техники'!AC436</f>
        <v>0330</v>
      </c>
      <c r="F519" s="638"/>
      <c r="G519" s="638"/>
      <c r="H519" s="638"/>
      <c r="I519" s="638"/>
      <c r="J519" s="638"/>
      <c r="K519" s="638"/>
      <c r="L519" s="638"/>
      <c r="M519" s="638"/>
      <c r="N519" s="682">
        <f>'19 работа техники'!AD436+'20 въезд-выезд авто'!AG332</f>
        <v>4.1999999999999997E-3</v>
      </c>
      <c r="O519" s="682">
        <f>'19 работа техники'!AE436+'20 въезд-выезд авто'!AH332</f>
        <v>1.221E-2</v>
      </c>
    </row>
    <row r="520" spans="2:15" x14ac:dyDescent="0.25">
      <c r="B520" s="999"/>
      <c r="C520" s="528"/>
      <c r="D520" s="633" t="str">
        <f>'19 работа техники'!AB437</f>
        <v>Керосин</v>
      </c>
      <c r="E520" s="702" t="str">
        <f>'19 работа техники'!AC437</f>
        <v>2732</v>
      </c>
      <c r="F520" s="638"/>
      <c r="G520" s="638"/>
      <c r="H520" s="638"/>
      <c r="I520" s="638"/>
      <c r="J520" s="638"/>
      <c r="K520" s="638"/>
      <c r="L520" s="638"/>
      <c r="M520" s="638"/>
      <c r="N520" s="682">
        <f>'19 работа техники'!AD437+'20 въезд-выезд авто'!AG333</f>
        <v>1.4100000000000001E-2</v>
      </c>
      <c r="O520" s="682">
        <f>'19 работа техники'!AE437+'20 въезд-выезд авто'!AH333</f>
        <v>2.86E-2</v>
      </c>
    </row>
    <row r="521" spans="2:15" x14ac:dyDescent="0.25">
      <c r="B521" s="999"/>
      <c r="C521" s="528"/>
      <c r="D521" s="633" t="str">
        <f>'19 работа техники'!AB438</f>
        <v xml:space="preserve">Углерод </v>
      </c>
      <c r="E521" s="702" t="str">
        <f>'19 работа техники'!AC438</f>
        <v>0328</v>
      </c>
      <c r="F521" s="638"/>
      <c r="G521" s="638"/>
      <c r="H521" s="638"/>
      <c r="I521" s="638"/>
      <c r="J521" s="638"/>
      <c r="K521" s="638"/>
      <c r="L521" s="638"/>
      <c r="M521" s="638"/>
      <c r="N521" s="682">
        <f>'19 работа техники'!AD438+'20 въезд-выезд авто'!AG335</f>
        <v>6.6E-3</v>
      </c>
      <c r="O521" s="682">
        <f>'19 работа техники'!AE438+'20 въезд-выезд авто'!AH335</f>
        <v>1.644E-2</v>
      </c>
    </row>
    <row r="522" spans="2:15" x14ac:dyDescent="0.25">
      <c r="B522" s="999"/>
      <c r="C522" s="529"/>
      <c r="D522" s="640" t="str">
        <f>'19 работа техники'!AB439</f>
        <v>Углерода оксид</v>
      </c>
      <c r="E522" s="703" t="str">
        <f>'19 работа техники'!AC439</f>
        <v>0337</v>
      </c>
      <c r="F522" s="645"/>
      <c r="G522" s="645"/>
      <c r="H522" s="645"/>
      <c r="I522" s="645"/>
      <c r="J522" s="645"/>
      <c r="K522" s="645"/>
      <c r="L522" s="645"/>
      <c r="M522" s="645"/>
      <c r="N522" s="660">
        <f>'19 работа техники'!AD439+'20 въезд-выезд авто'!AG334</f>
        <v>7.5600000000000001E-2</v>
      </c>
      <c r="O522" s="660">
        <f>'19 работа техники'!AE439+'20 въезд-выезд авто'!AH334</f>
        <v>0.1032</v>
      </c>
    </row>
    <row r="523" spans="2:15" ht="16.5" customHeight="1" x14ac:dyDescent="0.25">
      <c r="B523" s="998" t="s">
        <v>1186</v>
      </c>
      <c r="C523" s="525" t="s">
        <v>503</v>
      </c>
      <c r="D523" s="626" t="str">
        <f>'19 работа техники'!AB441</f>
        <v>Азота диоксид</v>
      </c>
      <c r="E523" s="631" t="str">
        <f>'19 работа техники'!AC441</f>
        <v>0301</v>
      </c>
      <c r="F523" s="631"/>
      <c r="G523" s="631"/>
      <c r="H523" s="631"/>
      <c r="I523" s="631"/>
      <c r="J523" s="631"/>
      <c r="K523" s="631"/>
      <c r="L523" s="631"/>
      <c r="M523" s="631"/>
      <c r="N523" s="631">
        <f>'19 работа техники'!AD441+'20 въезд-выезд авто'!AG337</f>
        <v>0.04</v>
      </c>
      <c r="O523" s="631">
        <f>'19 работа техники'!AE441+'20 въезд-выезд авто'!AH337</f>
        <v>0.12</v>
      </c>
    </row>
    <row r="524" spans="2:15" x14ac:dyDescent="0.25">
      <c r="B524" s="999"/>
      <c r="C524" s="528" t="s">
        <v>1204</v>
      </c>
      <c r="D524" s="633" t="str">
        <f>'19 работа техники'!AB442</f>
        <v>Азота оксид</v>
      </c>
      <c r="E524" s="638" t="str">
        <f>'19 работа техники'!AC442</f>
        <v>0304</v>
      </c>
      <c r="F524" s="638"/>
      <c r="G524" s="638"/>
      <c r="H524" s="638"/>
      <c r="I524" s="638"/>
      <c r="J524" s="638"/>
      <c r="K524" s="638"/>
      <c r="L524" s="638"/>
      <c r="M524" s="638"/>
      <c r="N524" s="638">
        <f>'19 работа техники'!AD442+'20 въезд-выезд авто'!AG338</f>
        <v>6.5000000000000006E-3</v>
      </c>
      <c r="O524" s="638">
        <f>'19 работа техники'!AE442+'20 въезд-выезд авто'!AH338</f>
        <v>1.95E-2</v>
      </c>
    </row>
    <row r="525" spans="2:15" x14ac:dyDescent="0.25">
      <c r="B525" s="999"/>
      <c r="C525" s="528"/>
      <c r="D525" s="633" t="str">
        <f>'19 работа техники'!AB443</f>
        <v>Серы диоксид</v>
      </c>
      <c r="E525" s="638" t="str">
        <f>'19 работа техники'!AC443</f>
        <v>0330</v>
      </c>
      <c r="F525" s="638"/>
      <c r="G525" s="638"/>
      <c r="H525" s="638"/>
      <c r="I525" s="638"/>
      <c r="J525" s="638"/>
      <c r="K525" s="638"/>
      <c r="L525" s="638"/>
      <c r="M525" s="638"/>
      <c r="N525" s="638">
        <f>'19 работа техники'!AD443+'20 въезд-выезд авто'!AG339</f>
        <v>4.1999999999999997E-3</v>
      </c>
      <c r="O525" s="638">
        <f>'19 работа техники'!AE443+'20 въезд-выезд авто'!AH339</f>
        <v>1.221E-2</v>
      </c>
    </row>
    <row r="526" spans="2:15" x14ac:dyDescent="0.25">
      <c r="B526" s="999"/>
      <c r="C526" s="528"/>
      <c r="D526" s="633" t="str">
        <f>'19 работа техники'!AB444</f>
        <v>Керосин</v>
      </c>
      <c r="E526" s="638" t="str">
        <f>'19 работа техники'!AC444</f>
        <v>2732</v>
      </c>
      <c r="F526" s="638"/>
      <c r="G526" s="638"/>
      <c r="H526" s="638"/>
      <c r="I526" s="638"/>
      <c r="J526" s="638"/>
      <c r="K526" s="638"/>
      <c r="L526" s="638"/>
      <c r="M526" s="638"/>
      <c r="N526" s="638">
        <f>'19 работа техники'!AD444+'20 въезд-выезд авто'!AG340</f>
        <v>1.4100000000000001E-2</v>
      </c>
      <c r="O526" s="638">
        <f>'19 работа техники'!AE444+'20 въезд-выезд авто'!AH340</f>
        <v>2.86E-2</v>
      </c>
    </row>
    <row r="527" spans="2:15" x14ac:dyDescent="0.25">
      <c r="B527" s="999"/>
      <c r="C527" s="528"/>
      <c r="D527" s="633" t="str">
        <f>'19 работа техники'!AB445</f>
        <v xml:space="preserve">Углерод </v>
      </c>
      <c r="E527" s="638" t="str">
        <f>'19 работа техники'!AC445</f>
        <v>0328</v>
      </c>
      <c r="F527" s="638"/>
      <c r="G527" s="638"/>
      <c r="H527" s="638"/>
      <c r="I527" s="638"/>
      <c r="J527" s="638"/>
      <c r="K527" s="638"/>
      <c r="L527" s="638"/>
      <c r="M527" s="638"/>
      <c r="N527" s="638">
        <f>'19 работа техники'!AD445+'20 въезд-выезд авто'!AG342</f>
        <v>6.6E-3</v>
      </c>
      <c r="O527" s="638">
        <f>'19 работа техники'!AE445+'20 въезд-выезд авто'!AH342</f>
        <v>1.644E-2</v>
      </c>
    </row>
    <row r="528" spans="2:15" x14ac:dyDescent="0.25">
      <c r="B528" s="999"/>
      <c r="C528" s="529"/>
      <c r="D528" s="640" t="str">
        <f>'19 работа техники'!AB446</f>
        <v>Углерода оксид</v>
      </c>
      <c r="E528" s="645" t="str">
        <f>'19 работа техники'!AC446</f>
        <v>0337</v>
      </c>
      <c r="F528" s="645"/>
      <c r="G528" s="645"/>
      <c r="H528" s="645"/>
      <c r="I528" s="645"/>
      <c r="J528" s="645"/>
      <c r="K528" s="645"/>
      <c r="L528" s="645"/>
      <c r="M528" s="645"/>
      <c r="N528" s="645">
        <f>'19 работа техники'!AD446+'20 въезд-выезд авто'!AG341</f>
        <v>7.5600000000000001E-2</v>
      </c>
      <c r="O528" s="645">
        <f>'19 работа техники'!AE446+'20 въезд-выезд авто'!AH341</f>
        <v>0.1032</v>
      </c>
    </row>
    <row r="529" spans="2:15" ht="16.5" customHeight="1" x14ac:dyDescent="0.25">
      <c r="B529" s="998" t="s">
        <v>1187</v>
      </c>
      <c r="C529" s="525" t="s">
        <v>505</v>
      </c>
      <c r="D529" s="626" t="str">
        <f>'19 работа техники'!AB448</f>
        <v>Азота диоксид</v>
      </c>
      <c r="E529" s="631" t="str">
        <f>'19 работа техники'!AC448</f>
        <v>0301</v>
      </c>
      <c r="F529" s="631"/>
      <c r="G529" s="631"/>
      <c r="H529" s="631"/>
      <c r="I529" s="631"/>
      <c r="J529" s="631"/>
      <c r="K529" s="631"/>
      <c r="L529" s="631"/>
      <c r="M529" s="631"/>
      <c r="N529" s="631">
        <f>'19 работа техники'!AD448+'20 въезд-выезд авто'!AG344</f>
        <v>0.04</v>
      </c>
      <c r="O529" s="631">
        <f>'19 работа техники'!AE448+'20 въезд-выезд авто'!AH344</f>
        <v>0.12</v>
      </c>
    </row>
    <row r="530" spans="2:15" x14ac:dyDescent="0.25">
      <c r="B530" s="999"/>
      <c r="C530" s="528" t="s">
        <v>1204</v>
      </c>
      <c r="D530" s="633" t="str">
        <f>'19 работа техники'!AB449</f>
        <v>Азота оксид</v>
      </c>
      <c r="E530" s="638" t="str">
        <f>'19 работа техники'!AC449</f>
        <v>0304</v>
      </c>
      <c r="F530" s="638"/>
      <c r="G530" s="638"/>
      <c r="H530" s="638"/>
      <c r="I530" s="638"/>
      <c r="J530" s="638"/>
      <c r="K530" s="638"/>
      <c r="L530" s="638"/>
      <c r="M530" s="638"/>
      <c r="N530" s="638">
        <f>'19 работа техники'!AD449+'20 въезд-выезд авто'!AG345</f>
        <v>6.5000000000000006E-3</v>
      </c>
      <c r="O530" s="638">
        <f>'19 работа техники'!AE449+'20 въезд-выезд авто'!AH345</f>
        <v>1.95E-2</v>
      </c>
    </row>
    <row r="531" spans="2:15" x14ac:dyDescent="0.25">
      <c r="B531" s="999"/>
      <c r="C531" s="528"/>
      <c r="D531" s="633" t="str">
        <f>'19 работа техники'!AB450</f>
        <v>Серы диоксид</v>
      </c>
      <c r="E531" s="638" t="str">
        <f>'19 работа техники'!AC450</f>
        <v>0330</v>
      </c>
      <c r="F531" s="638"/>
      <c r="G531" s="638"/>
      <c r="H531" s="638"/>
      <c r="I531" s="638"/>
      <c r="J531" s="638"/>
      <c r="K531" s="638"/>
      <c r="L531" s="638"/>
      <c r="M531" s="638"/>
      <c r="N531" s="638">
        <f>'19 работа техники'!AD450+'20 въезд-выезд авто'!AG346</f>
        <v>4.1999999999999997E-3</v>
      </c>
      <c r="O531" s="638">
        <f>'19 работа техники'!AE450+'20 въезд-выезд авто'!AH346</f>
        <v>1.221E-2</v>
      </c>
    </row>
    <row r="532" spans="2:15" x14ac:dyDescent="0.25">
      <c r="B532" s="999"/>
      <c r="C532" s="528"/>
      <c r="D532" s="633" t="str">
        <f>'19 работа техники'!AB451</f>
        <v>Керосин</v>
      </c>
      <c r="E532" s="638" t="str">
        <f>'19 работа техники'!AC451</f>
        <v>2732</v>
      </c>
      <c r="F532" s="638"/>
      <c r="G532" s="638"/>
      <c r="H532" s="638"/>
      <c r="I532" s="638"/>
      <c r="J532" s="638"/>
      <c r="K532" s="638"/>
      <c r="L532" s="638"/>
      <c r="M532" s="638"/>
      <c r="N532" s="638">
        <f>'19 работа техники'!AD451+'20 въезд-выезд авто'!AG347</f>
        <v>1.4100000000000001E-2</v>
      </c>
      <c r="O532" s="638">
        <f>'19 работа техники'!AE451+'20 въезд-выезд авто'!AH347</f>
        <v>2.86E-2</v>
      </c>
    </row>
    <row r="533" spans="2:15" x14ac:dyDescent="0.25">
      <c r="B533" s="999"/>
      <c r="C533" s="528"/>
      <c r="D533" s="633" t="str">
        <f>'19 работа техники'!AB452</f>
        <v xml:space="preserve">Углерод </v>
      </c>
      <c r="E533" s="638" t="str">
        <f>'19 работа техники'!AC452</f>
        <v>0328</v>
      </c>
      <c r="F533" s="638"/>
      <c r="G533" s="638"/>
      <c r="H533" s="638"/>
      <c r="I533" s="638"/>
      <c r="J533" s="638"/>
      <c r="K533" s="638"/>
      <c r="L533" s="638"/>
      <c r="M533" s="638"/>
      <c r="N533" s="638">
        <f>'19 работа техники'!AD452+'20 въезд-выезд авто'!AG349</f>
        <v>6.6E-3</v>
      </c>
      <c r="O533" s="638">
        <f>'19 работа техники'!AE452+'20 въезд-выезд авто'!AH349</f>
        <v>1.644E-2</v>
      </c>
    </row>
    <row r="534" spans="2:15" x14ac:dyDescent="0.25">
      <c r="B534" s="999"/>
      <c r="C534" s="529"/>
      <c r="D534" s="640" t="str">
        <f>'19 работа техники'!AB453</f>
        <v>Углерода оксид</v>
      </c>
      <c r="E534" s="645" t="str">
        <f>'19 работа техники'!AC453</f>
        <v>0337</v>
      </c>
      <c r="F534" s="645"/>
      <c r="G534" s="645"/>
      <c r="H534" s="645"/>
      <c r="I534" s="645"/>
      <c r="J534" s="645"/>
      <c r="K534" s="645"/>
      <c r="L534" s="645"/>
      <c r="M534" s="645"/>
      <c r="N534" s="645">
        <f>'19 работа техники'!AD453+'20 въезд-выезд авто'!AG348</f>
        <v>7.5600000000000001E-2</v>
      </c>
      <c r="O534" s="645">
        <f>'19 работа техники'!AE453+'20 въезд-выезд авто'!AH348</f>
        <v>0.1032</v>
      </c>
    </row>
    <row r="535" spans="2:15" ht="16.5" customHeight="1" x14ac:dyDescent="0.25">
      <c r="B535" s="998" t="s">
        <v>1188</v>
      </c>
      <c r="C535" s="525" t="s">
        <v>509</v>
      </c>
      <c r="D535" s="626" t="str">
        <f>'19 работа техники'!AB455</f>
        <v>Азота диоксид</v>
      </c>
      <c r="E535" s="701" t="str">
        <f>'19 работа техники'!AC455</f>
        <v>0301</v>
      </c>
      <c r="F535" s="631"/>
      <c r="G535" s="631"/>
      <c r="H535" s="631"/>
      <c r="I535" s="631"/>
      <c r="J535" s="631"/>
      <c r="K535" s="631"/>
      <c r="L535" s="631"/>
      <c r="M535" s="631"/>
      <c r="N535" s="631">
        <f>'19 работа техники'!AD455+'20 въезд-выезд авто'!AG351</f>
        <v>0.04</v>
      </c>
      <c r="O535" s="631">
        <f>'19 работа техники'!AE455+'20 въезд-выезд авто'!AH351</f>
        <v>0.12</v>
      </c>
    </row>
    <row r="536" spans="2:15" x14ac:dyDescent="0.25">
      <c r="B536" s="999"/>
      <c r="C536" s="528" t="s">
        <v>1204</v>
      </c>
      <c r="D536" s="633" t="str">
        <f>'19 работа техники'!AB456</f>
        <v>Азота оксид</v>
      </c>
      <c r="E536" s="702" t="str">
        <f>'19 работа техники'!AC456</f>
        <v>0304</v>
      </c>
      <c r="F536" s="638"/>
      <c r="G536" s="638"/>
      <c r="H536" s="638"/>
      <c r="I536" s="638"/>
      <c r="J536" s="638"/>
      <c r="K536" s="638"/>
      <c r="L536" s="638"/>
      <c r="M536" s="638"/>
      <c r="N536" s="638">
        <f>'19 работа техники'!AD456+'20 въезд-выезд авто'!AG352</f>
        <v>6.5000000000000006E-3</v>
      </c>
      <c r="O536" s="638">
        <f>'19 работа техники'!AE456+'20 въезд-выезд авто'!AH352</f>
        <v>1.95E-2</v>
      </c>
    </row>
    <row r="537" spans="2:15" x14ac:dyDescent="0.25">
      <c r="B537" s="999"/>
      <c r="C537" s="528"/>
      <c r="D537" s="633" t="str">
        <f>'19 работа техники'!AB457</f>
        <v>Серы диоксид</v>
      </c>
      <c r="E537" s="702" t="str">
        <f>'19 работа техники'!AC457</f>
        <v>0330</v>
      </c>
      <c r="F537" s="638"/>
      <c r="G537" s="638"/>
      <c r="H537" s="638"/>
      <c r="I537" s="638"/>
      <c r="J537" s="638"/>
      <c r="K537" s="638"/>
      <c r="L537" s="638"/>
      <c r="M537" s="638"/>
      <c r="N537" s="638">
        <f>'19 работа техники'!AD457+'20 въезд-выезд авто'!AG353</f>
        <v>4.1999999999999997E-3</v>
      </c>
      <c r="O537" s="638">
        <f>'19 работа техники'!AE457+'20 въезд-выезд авто'!AH353</f>
        <v>1.221E-2</v>
      </c>
    </row>
    <row r="538" spans="2:15" x14ac:dyDescent="0.25">
      <c r="B538" s="999"/>
      <c r="C538" s="528"/>
      <c r="D538" s="633" t="str">
        <f>'19 работа техники'!AB458</f>
        <v>Керосин</v>
      </c>
      <c r="E538" s="702" t="str">
        <f>'19 работа техники'!AC458</f>
        <v>2732</v>
      </c>
      <c r="F538" s="638"/>
      <c r="G538" s="638"/>
      <c r="H538" s="638"/>
      <c r="I538" s="638"/>
      <c r="J538" s="638"/>
      <c r="K538" s="638"/>
      <c r="L538" s="638"/>
      <c r="M538" s="638"/>
      <c r="N538" s="638">
        <f>'19 работа техники'!AD458+'20 въезд-выезд авто'!AG354</f>
        <v>1.4100000000000001E-2</v>
      </c>
      <c r="O538" s="638">
        <f>'19 работа техники'!AE458+'20 въезд-выезд авто'!AH354</f>
        <v>2.86E-2</v>
      </c>
    </row>
    <row r="539" spans="2:15" x14ac:dyDescent="0.25">
      <c r="B539" s="999"/>
      <c r="C539" s="528"/>
      <c r="D539" s="633" t="str">
        <f>'19 работа техники'!AB459</f>
        <v xml:space="preserve">Углерод </v>
      </c>
      <c r="E539" s="702" t="str">
        <f>'19 работа техники'!AC459</f>
        <v>0328</v>
      </c>
      <c r="F539" s="638"/>
      <c r="G539" s="638"/>
      <c r="H539" s="638"/>
      <c r="I539" s="638"/>
      <c r="J539" s="638"/>
      <c r="K539" s="638"/>
      <c r="L539" s="638"/>
      <c r="M539" s="638"/>
      <c r="N539" s="638">
        <f>'19 работа техники'!AD459+'20 въезд-выезд авто'!AG356</f>
        <v>6.6E-3</v>
      </c>
      <c r="O539" s="638">
        <f>'19 работа техники'!AE459+'20 въезд-выезд авто'!AH356</f>
        <v>1.644E-2</v>
      </c>
    </row>
    <row r="540" spans="2:15" x14ac:dyDescent="0.25">
      <c r="B540" s="999"/>
      <c r="C540" s="529"/>
      <c r="D540" s="640" t="str">
        <f>'19 работа техники'!AB460</f>
        <v>Углерода оксид</v>
      </c>
      <c r="E540" s="703" t="str">
        <f>'19 работа техники'!AC460</f>
        <v>0337</v>
      </c>
      <c r="F540" s="645"/>
      <c r="G540" s="645"/>
      <c r="H540" s="645"/>
      <c r="I540" s="645"/>
      <c r="J540" s="645"/>
      <c r="K540" s="645"/>
      <c r="L540" s="645"/>
      <c r="M540" s="645"/>
      <c r="N540" s="645">
        <f>'19 работа техники'!AD460+'20 въезд-выезд авто'!AG355</f>
        <v>7.5600000000000001E-2</v>
      </c>
      <c r="O540" s="645">
        <f>'19 работа техники'!AE460+'20 въезд-выезд авто'!AH355</f>
        <v>0.1032</v>
      </c>
    </row>
    <row r="541" spans="2:15" ht="16.5" customHeight="1" x14ac:dyDescent="0.25">
      <c r="B541" s="998" t="s">
        <v>1189</v>
      </c>
      <c r="C541" s="525" t="s">
        <v>514</v>
      </c>
      <c r="D541" s="626" t="str">
        <f>'19 работа техники'!AB462</f>
        <v>Азота диоксид</v>
      </c>
      <c r="E541" s="701" t="str">
        <f>'19 работа техники'!AC462</f>
        <v>0301</v>
      </c>
      <c r="F541" s="631"/>
      <c r="G541" s="631"/>
      <c r="H541" s="631"/>
      <c r="I541" s="631"/>
      <c r="J541" s="631"/>
      <c r="K541" s="631"/>
      <c r="L541" s="631">
        <f>'19 работа техники'!AD213+'20 въезд-выезд авто'!AG161</f>
        <v>0.04</v>
      </c>
      <c r="M541" s="631">
        <f>'19 работа техники'!AE213+'20 въезд-выезд авто'!AH161</f>
        <v>6.4199999999999993E-2</v>
      </c>
      <c r="N541" s="631">
        <f>'19 работа техники'!AD462+'20 въезд-выезд авто'!AG358</f>
        <v>0.04</v>
      </c>
      <c r="O541" s="631">
        <f>'19 работа техники'!AE462+'20 въезд-выезд авто'!AH358</f>
        <v>0.25650000000000001</v>
      </c>
    </row>
    <row r="542" spans="2:15" x14ac:dyDescent="0.25">
      <c r="B542" s="999"/>
      <c r="C542" s="528" t="s">
        <v>1204</v>
      </c>
      <c r="D542" s="633" t="str">
        <f>'19 работа техники'!AB463</f>
        <v>Азота оксид</v>
      </c>
      <c r="E542" s="702" t="str">
        <f>'19 работа техники'!AC463</f>
        <v>0304</v>
      </c>
      <c r="F542" s="638"/>
      <c r="G542" s="638"/>
      <c r="H542" s="638"/>
      <c r="I542" s="638"/>
      <c r="J542" s="638"/>
      <c r="K542" s="638"/>
      <c r="L542" s="638">
        <f>'19 работа техники'!AD214+'20 въезд-выезд авто'!AG162</f>
        <v>6.5000000000000006E-3</v>
      </c>
      <c r="M542" s="638">
        <f>'19 работа техники'!AE214+'20 въезд-выезд авто'!AH162</f>
        <v>1.0499999999999999E-2</v>
      </c>
      <c r="N542" s="638">
        <f>'19 работа техники'!AD463+'20 въезд-выезд авто'!AG359</f>
        <v>6.5000000000000006E-3</v>
      </c>
      <c r="O542" s="638">
        <f>'19 работа техники'!AE463+'20 въезд-выезд авто'!AH359</f>
        <v>4.1600000000000005E-2</v>
      </c>
    </row>
    <row r="543" spans="2:15" x14ac:dyDescent="0.25">
      <c r="B543" s="999"/>
      <c r="C543" s="528"/>
      <c r="D543" s="633" t="str">
        <f>'19 работа техники'!AB464</f>
        <v>Серы диоксид</v>
      </c>
      <c r="E543" s="702" t="str">
        <f>'19 работа техники'!AC464</f>
        <v>0330</v>
      </c>
      <c r="F543" s="638"/>
      <c r="G543" s="638"/>
      <c r="H543" s="638"/>
      <c r="I543" s="638"/>
      <c r="J543" s="638"/>
      <c r="K543" s="638"/>
      <c r="L543" s="638">
        <f>'19 работа техники'!AD215+'20 въезд-выезд авто'!AG163</f>
        <v>4.1999999999999997E-3</v>
      </c>
      <c r="M543" s="638">
        <f>'19 работа техники'!AE215+'20 въезд-выезд авто'!AH163</f>
        <v>7.5100000000000002E-3</v>
      </c>
      <c r="N543" s="638">
        <f>'19 работа техники'!AD464+'20 въезд-выезд авто'!AG360</f>
        <v>4.1999999999999997E-3</v>
      </c>
      <c r="O543" s="638">
        <f>'19 работа техники'!AE464+'20 въезд-выезд авто'!AH360</f>
        <v>2.7790000000000002E-2</v>
      </c>
    </row>
    <row r="544" spans="2:15" x14ac:dyDescent="0.25">
      <c r="B544" s="999"/>
      <c r="C544" s="528"/>
      <c r="D544" s="633" t="str">
        <f>'19 работа техники'!AB465</f>
        <v>Керосин</v>
      </c>
      <c r="E544" s="702" t="str">
        <f>'19 работа техники'!AC465</f>
        <v>2732</v>
      </c>
      <c r="F544" s="638"/>
      <c r="G544" s="638"/>
      <c r="H544" s="638"/>
      <c r="I544" s="638"/>
      <c r="J544" s="638"/>
      <c r="K544" s="638"/>
      <c r="L544" s="638">
        <f>'19 работа техники'!AD216+'20 въезд-выезд авто'!AG164</f>
        <v>1.4100000000000001E-2</v>
      </c>
      <c r="M544" s="638">
        <f>'19 работа техники'!AE216+'20 въезд-выезд авто'!AH164</f>
        <v>1.8200000000000001E-2</v>
      </c>
      <c r="N544" s="638">
        <f>'19 работа техники'!AD465+'20 въезд-выезд авто'!AG361</f>
        <v>1.4100000000000001E-2</v>
      </c>
      <c r="O544" s="638">
        <f>'19 работа техники'!AE465+'20 въезд-выезд авто'!AH361</f>
        <v>6.6099999999999992E-2</v>
      </c>
    </row>
    <row r="545" spans="2:15" x14ac:dyDescent="0.25">
      <c r="B545" s="999"/>
      <c r="C545" s="528"/>
      <c r="D545" s="633" t="str">
        <f>'19 работа техники'!AB466</f>
        <v xml:space="preserve">Углерод </v>
      </c>
      <c r="E545" s="702" t="str">
        <f>'19 работа техники'!AC466</f>
        <v>0328</v>
      </c>
      <c r="F545" s="638"/>
      <c r="G545" s="638"/>
      <c r="H545" s="638"/>
      <c r="I545" s="638"/>
      <c r="J545" s="638"/>
      <c r="K545" s="638"/>
      <c r="L545" s="638">
        <f>'19 работа техники'!AD217+'20 въезд-выезд авто'!AG166</f>
        <v>6.6E-3</v>
      </c>
      <c r="M545" s="638">
        <f>'19 работа техники'!AE217+'20 въезд-выезд авто'!AH166</f>
        <v>1.2529999999999999E-2</v>
      </c>
      <c r="N545" s="638">
        <f>'19 работа техники'!AD466+'20 въезд-выезд авто'!AG363</f>
        <v>6.6E-3</v>
      </c>
      <c r="O545" s="638">
        <f>'19 работа техники'!AE466+'20 въезд-выезд авто'!AH363</f>
        <v>4.2430000000000002E-2</v>
      </c>
    </row>
    <row r="546" spans="2:15" x14ac:dyDescent="0.25">
      <c r="B546" s="999"/>
      <c r="C546" s="529"/>
      <c r="D546" s="640" t="str">
        <f>'19 работа техники'!AB467</f>
        <v>Углерода оксид</v>
      </c>
      <c r="E546" s="703" t="str">
        <f>'19 работа техники'!AC467</f>
        <v>0337</v>
      </c>
      <c r="F546" s="645"/>
      <c r="G546" s="645"/>
      <c r="H546" s="645"/>
      <c r="I546" s="645"/>
      <c r="J546" s="645"/>
      <c r="K546" s="645"/>
      <c r="L546" s="645">
        <f>'19 работа техники'!AD218+'20 въезд-выезд авто'!AG165</f>
        <v>7.5600000000000001E-2</v>
      </c>
      <c r="M546" s="645">
        <f>'19 работа техники'!AE218+'20 въезд-выезд авто'!AH165</f>
        <v>7.0699999999999999E-2</v>
      </c>
      <c r="N546" s="645">
        <f>'19 работа техники'!AD467+'20 въезд-выезд авто'!AG362</f>
        <v>7.5600000000000001E-2</v>
      </c>
      <c r="O546" s="645">
        <f>'19 работа техники'!AE467+'20 въезд-выезд авто'!AH362</f>
        <v>0.24759999999999999</v>
      </c>
    </row>
    <row r="547" spans="2:15" ht="16.5" customHeight="1" x14ac:dyDescent="0.25">
      <c r="B547" s="998" t="s">
        <v>1190</v>
      </c>
      <c r="C547" s="525" t="s">
        <v>517</v>
      </c>
      <c r="D547" s="626" t="str">
        <f>'19 работа техники'!AB469</f>
        <v>Азота диоксид</v>
      </c>
      <c r="E547" s="701" t="str">
        <f>'19 работа техники'!AC469</f>
        <v>0301</v>
      </c>
      <c r="F547" s="631"/>
      <c r="G547" s="631"/>
      <c r="H547" s="631"/>
      <c r="I547" s="631"/>
      <c r="J547" s="631"/>
      <c r="K547" s="631"/>
      <c r="L547" s="631"/>
      <c r="M547" s="631"/>
      <c r="N547" s="631">
        <f>'19 работа техники'!AD469+'20 въезд-выезд авто'!AG365</f>
        <v>0.04</v>
      </c>
      <c r="O547" s="631">
        <f>'19 работа техники'!AE469+'20 въезд-выезд авто'!AH365</f>
        <v>0.12</v>
      </c>
    </row>
    <row r="548" spans="2:15" x14ac:dyDescent="0.25">
      <c r="B548" s="999"/>
      <c r="C548" s="528" t="s">
        <v>1204</v>
      </c>
      <c r="D548" s="633" t="str">
        <f>'19 работа техники'!AB470</f>
        <v>Азота оксид</v>
      </c>
      <c r="E548" s="702" t="str">
        <f>'19 работа техники'!AC470</f>
        <v>0304</v>
      </c>
      <c r="F548" s="638"/>
      <c r="G548" s="638"/>
      <c r="H548" s="638"/>
      <c r="I548" s="638"/>
      <c r="J548" s="638"/>
      <c r="K548" s="638"/>
      <c r="L548" s="638"/>
      <c r="M548" s="638"/>
      <c r="N548" s="638">
        <f>'19 работа техники'!AD470+'20 въезд-выезд авто'!AG366</f>
        <v>6.5000000000000006E-3</v>
      </c>
      <c r="O548" s="638">
        <f>'19 работа техники'!AE470+'20 въезд-выезд авто'!AH366</f>
        <v>1.95E-2</v>
      </c>
    </row>
    <row r="549" spans="2:15" x14ac:dyDescent="0.25">
      <c r="B549" s="999"/>
      <c r="C549" s="528"/>
      <c r="D549" s="633" t="str">
        <f>'19 работа техники'!AB471</f>
        <v>Серы диоксид</v>
      </c>
      <c r="E549" s="702" t="str">
        <f>'19 работа техники'!AC471</f>
        <v>0330</v>
      </c>
      <c r="F549" s="638"/>
      <c r="G549" s="638"/>
      <c r="H549" s="638"/>
      <c r="I549" s="638"/>
      <c r="J549" s="638"/>
      <c r="K549" s="638"/>
      <c r="L549" s="638"/>
      <c r="M549" s="638"/>
      <c r="N549" s="638">
        <f>'19 работа техники'!AD471+'20 въезд-выезд авто'!AG367</f>
        <v>4.1999999999999997E-3</v>
      </c>
      <c r="O549" s="638">
        <f>'19 работа техники'!AE471+'20 въезд-выезд авто'!AH367</f>
        <v>1.221E-2</v>
      </c>
    </row>
    <row r="550" spans="2:15" x14ac:dyDescent="0.25">
      <c r="B550" s="999"/>
      <c r="C550" s="528"/>
      <c r="D550" s="633" t="str">
        <f>'19 работа техники'!AB472</f>
        <v>Керосин</v>
      </c>
      <c r="E550" s="702" t="str">
        <f>'19 работа техники'!AC472</f>
        <v>2732</v>
      </c>
      <c r="F550" s="638"/>
      <c r="G550" s="638"/>
      <c r="H550" s="638"/>
      <c r="I550" s="638"/>
      <c r="J550" s="638"/>
      <c r="K550" s="638"/>
      <c r="L550" s="638"/>
      <c r="M550" s="638"/>
      <c r="N550" s="638">
        <f>'19 работа техники'!AD472+'20 въезд-выезд авто'!AG368</f>
        <v>1.4100000000000001E-2</v>
      </c>
      <c r="O550" s="638">
        <f>'19 работа техники'!AE472+'20 въезд-выезд авто'!AH368</f>
        <v>2.86E-2</v>
      </c>
    </row>
    <row r="551" spans="2:15" x14ac:dyDescent="0.25">
      <c r="B551" s="999"/>
      <c r="C551" s="528"/>
      <c r="D551" s="633" t="str">
        <f>'19 работа техники'!AB473</f>
        <v xml:space="preserve">Углерод </v>
      </c>
      <c r="E551" s="702" t="str">
        <f>'19 работа техники'!AC473</f>
        <v>0328</v>
      </c>
      <c r="F551" s="638"/>
      <c r="G551" s="638"/>
      <c r="H551" s="638"/>
      <c r="I551" s="638"/>
      <c r="J551" s="638"/>
      <c r="K551" s="638"/>
      <c r="L551" s="638"/>
      <c r="M551" s="638"/>
      <c r="N551" s="638">
        <f>'19 работа техники'!AD473+'20 въезд-выезд авто'!AG370</f>
        <v>6.6E-3</v>
      </c>
      <c r="O551" s="638">
        <f>'19 работа техники'!AE473+'20 въезд-выезд авто'!AH370</f>
        <v>1.644E-2</v>
      </c>
    </row>
    <row r="552" spans="2:15" x14ac:dyDescent="0.25">
      <c r="B552" s="999"/>
      <c r="C552" s="529"/>
      <c r="D552" s="640" t="str">
        <f>'19 работа техники'!AB474</f>
        <v>Углерода оксид</v>
      </c>
      <c r="E552" s="703" t="str">
        <f>'19 работа техники'!AC474</f>
        <v>0337</v>
      </c>
      <c r="F552" s="645"/>
      <c r="G552" s="645"/>
      <c r="H552" s="645"/>
      <c r="I552" s="645"/>
      <c r="J552" s="645"/>
      <c r="K552" s="645"/>
      <c r="L552" s="645"/>
      <c r="M552" s="645"/>
      <c r="N552" s="645">
        <f>'19 работа техники'!AD474+'20 въезд-выезд авто'!AG369</f>
        <v>7.5600000000000001E-2</v>
      </c>
      <c r="O552" s="645">
        <f>'19 работа техники'!AE474+'20 въезд-выезд авто'!AH369</f>
        <v>0.1032</v>
      </c>
    </row>
    <row r="553" spans="2:15" ht="16.5" customHeight="1" x14ac:dyDescent="0.25">
      <c r="B553" s="998" t="s">
        <v>1191</v>
      </c>
      <c r="C553" s="525" t="s">
        <v>520</v>
      </c>
      <c r="D553" s="626" t="str">
        <f>'19 работа техники'!AB476</f>
        <v>Азота диоксид</v>
      </c>
      <c r="E553" s="701" t="str">
        <f>'19 работа техники'!AC476</f>
        <v>0301</v>
      </c>
      <c r="F553" s="631"/>
      <c r="G553" s="631"/>
      <c r="H553" s="631"/>
      <c r="I553" s="631"/>
      <c r="J553" s="631"/>
      <c r="K553" s="631"/>
      <c r="L553" s="631"/>
      <c r="M553" s="631"/>
      <c r="N553" s="631">
        <f>'19 работа техники'!AD476+'20 въезд-выезд авто'!AG379</f>
        <v>0.04</v>
      </c>
      <c r="O553" s="631">
        <f>'19 работа техники'!AE476+'20 въезд-выезд авто'!AH379</f>
        <v>0.12</v>
      </c>
    </row>
    <row r="554" spans="2:15" x14ac:dyDescent="0.25">
      <c r="B554" s="999"/>
      <c r="C554" s="528" t="s">
        <v>1204</v>
      </c>
      <c r="D554" s="633" t="str">
        <f>'19 работа техники'!AB477</f>
        <v>Азота оксид</v>
      </c>
      <c r="E554" s="702" t="str">
        <f>'19 работа техники'!AC477</f>
        <v>0304</v>
      </c>
      <c r="F554" s="638"/>
      <c r="G554" s="638"/>
      <c r="H554" s="638"/>
      <c r="I554" s="638"/>
      <c r="J554" s="638"/>
      <c r="K554" s="638"/>
      <c r="L554" s="638"/>
      <c r="M554" s="638"/>
      <c r="N554" s="638">
        <f>'19 работа техники'!AD477+'20 въезд-выезд авто'!AG380</f>
        <v>6.5000000000000006E-3</v>
      </c>
      <c r="O554" s="638">
        <f>'19 работа техники'!AE477+'20 въезд-выезд авто'!AH380</f>
        <v>1.95E-2</v>
      </c>
    </row>
    <row r="555" spans="2:15" x14ac:dyDescent="0.25">
      <c r="B555" s="999"/>
      <c r="C555" s="528"/>
      <c r="D555" s="633" t="str">
        <f>'19 работа техники'!AB478</f>
        <v>Серы диоксид</v>
      </c>
      <c r="E555" s="702" t="str">
        <f>'19 работа техники'!AC478</f>
        <v>0330</v>
      </c>
      <c r="F555" s="638"/>
      <c r="G555" s="638"/>
      <c r="H555" s="638"/>
      <c r="I555" s="638"/>
      <c r="J555" s="638"/>
      <c r="K555" s="638"/>
      <c r="L555" s="638"/>
      <c r="M555" s="638"/>
      <c r="N555" s="638">
        <f>'19 работа техники'!AD478+'20 въезд-выезд авто'!AG381</f>
        <v>4.1999999999999997E-3</v>
      </c>
      <c r="O555" s="638">
        <f>'19 работа техники'!AE478+'20 въезд-выезд авто'!AH381</f>
        <v>1.221E-2</v>
      </c>
    </row>
    <row r="556" spans="2:15" x14ac:dyDescent="0.25">
      <c r="B556" s="999"/>
      <c r="C556" s="528"/>
      <c r="D556" s="633" t="str">
        <f>'19 работа техники'!AB479</f>
        <v>Керосин</v>
      </c>
      <c r="E556" s="702" t="str">
        <f>'19 работа техники'!AC479</f>
        <v>2732</v>
      </c>
      <c r="F556" s="638"/>
      <c r="G556" s="638"/>
      <c r="H556" s="638"/>
      <c r="I556" s="638"/>
      <c r="J556" s="638"/>
      <c r="K556" s="638"/>
      <c r="L556" s="638"/>
      <c r="M556" s="638"/>
      <c r="N556" s="638">
        <f>'19 работа техники'!AD479+'20 въезд-выезд авто'!AG382</f>
        <v>1.4100000000000001E-2</v>
      </c>
      <c r="O556" s="638">
        <f>'19 работа техники'!AE479+'20 въезд-выезд авто'!AH382</f>
        <v>2.86E-2</v>
      </c>
    </row>
    <row r="557" spans="2:15" x14ac:dyDescent="0.25">
      <c r="B557" s="999"/>
      <c r="C557" s="528"/>
      <c r="D557" s="633" t="str">
        <f>'19 работа техники'!AB480</f>
        <v xml:space="preserve">Углерод </v>
      </c>
      <c r="E557" s="702" t="str">
        <f>'19 работа техники'!AC480</f>
        <v>0328</v>
      </c>
      <c r="F557" s="638"/>
      <c r="G557" s="638"/>
      <c r="H557" s="638"/>
      <c r="I557" s="638"/>
      <c r="J557" s="638"/>
      <c r="K557" s="638"/>
      <c r="L557" s="638"/>
      <c r="M557" s="638"/>
      <c r="N557" s="638">
        <f>'19 работа техники'!AD480+'20 въезд-выезд авто'!AG384</f>
        <v>6.6E-3</v>
      </c>
      <c r="O557" s="638">
        <f>'19 работа техники'!AE480+'20 въезд-выезд авто'!AH384</f>
        <v>1.644E-2</v>
      </c>
    </row>
    <row r="558" spans="2:15" x14ac:dyDescent="0.25">
      <c r="B558" s="999"/>
      <c r="C558" s="529"/>
      <c r="D558" s="640" t="str">
        <f>'19 работа техники'!AB481</f>
        <v>Углерода оксид</v>
      </c>
      <c r="E558" s="703" t="str">
        <f>'19 работа техники'!AC481</f>
        <v>0337</v>
      </c>
      <c r="F558" s="645"/>
      <c r="G558" s="645"/>
      <c r="H558" s="645"/>
      <c r="I558" s="645"/>
      <c r="J558" s="645"/>
      <c r="K558" s="645"/>
      <c r="L558" s="645"/>
      <c r="M558" s="645"/>
      <c r="N558" s="645">
        <f>'19 работа техники'!AD481+'20 въезд-выезд авто'!AG383</f>
        <v>7.5600000000000001E-2</v>
      </c>
      <c r="O558" s="645">
        <f>'19 работа техники'!AE481+'20 въезд-выезд авто'!AH383</f>
        <v>0.1032</v>
      </c>
    </row>
    <row r="559" spans="2:15" ht="16.5" customHeight="1" x14ac:dyDescent="0.25">
      <c r="B559" s="998" t="s">
        <v>1192</v>
      </c>
      <c r="C559" s="525" t="s">
        <v>521</v>
      </c>
      <c r="D559" s="626" t="str">
        <f>'19 работа техники'!AB483</f>
        <v>Азота диоксид</v>
      </c>
      <c r="E559" s="701" t="str">
        <f>'19 работа техники'!AC483</f>
        <v>0301</v>
      </c>
      <c r="F559" s="631"/>
      <c r="G559" s="631"/>
      <c r="H559" s="631"/>
      <c r="I559" s="631"/>
      <c r="J559" s="631"/>
      <c r="K559" s="631"/>
      <c r="L559" s="631"/>
      <c r="M559" s="631"/>
      <c r="N559" s="631">
        <f>'19 работа техники'!AD483+'20 въезд-выезд авто'!AG379</f>
        <v>0.04</v>
      </c>
      <c r="O559" s="631">
        <f>'19 работа техники'!AE483+'20 въезд-выезд авто'!AH379</f>
        <v>0.12</v>
      </c>
    </row>
    <row r="560" spans="2:15" x14ac:dyDescent="0.25">
      <c r="B560" s="999"/>
      <c r="C560" s="528" t="s">
        <v>1204</v>
      </c>
      <c r="D560" s="633" t="str">
        <f>'19 работа техники'!AB484</f>
        <v>Азота оксид</v>
      </c>
      <c r="E560" s="702" t="str">
        <f>'19 работа техники'!AC484</f>
        <v>0304</v>
      </c>
      <c r="F560" s="638"/>
      <c r="G560" s="638"/>
      <c r="H560" s="638"/>
      <c r="I560" s="638"/>
      <c r="J560" s="638"/>
      <c r="K560" s="638"/>
      <c r="L560" s="638"/>
      <c r="M560" s="638"/>
      <c r="N560" s="638">
        <f>'19 работа техники'!AD484+'20 въезд-выезд авто'!AG380</f>
        <v>6.5000000000000006E-3</v>
      </c>
      <c r="O560" s="638">
        <f>'19 работа техники'!AE484+'20 въезд-выезд авто'!AH380</f>
        <v>1.95E-2</v>
      </c>
    </row>
    <row r="561" spans="2:15" x14ac:dyDescent="0.25">
      <c r="B561" s="999"/>
      <c r="C561" s="528"/>
      <c r="D561" s="633" t="str">
        <f>'19 работа техники'!AB485</f>
        <v>Серы диоксид</v>
      </c>
      <c r="E561" s="702" t="str">
        <f>'19 работа техники'!AC485</f>
        <v>0330</v>
      </c>
      <c r="F561" s="638"/>
      <c r="G561" s="638"/>
      <c r="H561" s="638"/>
      <c r="I561" s="638"/>
      <c r="J561" s="638"/>
      <c r="K561" s="638"/>
      <c r="L561" s="638"/>
      <c r="M561" s="638"/>
      <c r="N561" s="638">
        <f>'19 работа техники'!AD485+'20 въезд-выезд авто'!AG381</f>
        <v>4.1999999999999997E-3</v>
      </c>
      <c r="O561" s="638">
        <f>'19 работа техники'!AE485+'20 въезд-выезд авто'!AH381</f>
        <v>1.221E-2</v>
      </c>
    </row>
    <row r="562" spans="2:15" x14ac:dyDescent="0.25">
      <c r="B562" s="999"/>
      <c r="C562" s="528"/>
      <c r="D562" s="633" t="str">
        <f>'19 работа техники'!AB486</f>
        <v>Керосин</v>
      </c>
      <c r="E562" s="702" t="str">
        <f>'19 работа техники'!AC486</f>
        <v>2732</v>
      </c>
      <c r="F562" s="638"/>
      <c r="G562" s="638"/>
      <c r="H562" s="638"/>
      <c r="I562" s="638"/>
      <c r="J562" s="638"/>
      <c r="K562" s="638"/>
      <c r="L562" s="638"/>
      <c r="M562" s="638"/>
      <c r="N562" s="638">
        <f>'19 работа техники'!AD486+'20 въезд-выезд авто'!AG382</f>
        <v>1.4100000000000001E-2</v>
      </c>
      <c r="O562" s="638">
        <f>'19 работа техники'!AE486+'20 въезд-выезд авто'!AH382</f>
        <v>2.86E-2</v>
      </c>
    </row>
    <row r="563" spans="2:15" x14ac:dyDescent="0.25">
      <c r="B563" s="999"/>
      <c r="C563" s="528"/>
      <c r="D563" s="633" t="str">
        <f>'19 работа техники'!AB487</f>
        <v xml:space="preserve">Углерод </v>
      </c>
      <c r="E563" s="702" t="str">
        <f>'19 работа техники'!AC487</f>
        <v>0328</v>
      </c>
      <c r="F563" s="638"/>
      <c r="G563" s="638"/>
      <c r="H563" s="638"/>
      <c r="I563" s="638"/>
      <c r="J563" s="638"/>
      <c r="K563" s="638"/>
      <c r="L563" s="638"/>
      <c r="M563" s="638"/>
      <c r="N563" s="638">
        <f>'19 работа техники'!AD487+'20 въезд-выезд авто'!AG384</f>
        <v>6.6E-3</v>
      </c>
      <c r="O563" s="638">
        <f>'19 работа техники'!AE487+'20 въезд-выезд авто'!AH384</f>
        <v>1.644E-2</v>
      </c>
    </row>
    <row r="564" spans="2:15" x14ac:dyDescent="0.25">
      <c r="B564" s="999"/>
      <c r="C564" s="529"/>
      <c r="D564" s="640" t="str">
        <f>'19 работа техники'!AB488</f>
        <v>Углерода оксид</v>
      </c>
      <c r="E564" s="703" t="str">
        <f>'19 работа техники'!AC488</f>
        <v>0337</v>
      </c>
      <c r="F564" s="645"/>
      <c r="G564" s="645"/>
      <c r="H564" s="645"/>
      <c r="I564" s="645"/>
      <c r="J564" s="645"/>
      <c r="K564" s="645"/>
      <c r="L564" s="645"/>
      <c r="M564" s="645"/>
      <c r="N564" s="645">
        <f>'19 работа техники'!AD488+'20 въезд-выезд авто'!AG383</f>
        <v>7.5600000000000001E-2</v>
      </c>
      <c r="O564" s="645">
        <f>'19 работа техники'!AE488+'20 въезд-выезд авто'!AH383</f>
        <v>0.1032</v>
      </c>
    </row>
    <row r="565" spans="2:15" ht="16.5" customHeight="1" x14ac:dyDescent="0.25">
      <c r="B565" s="998" t="s">
        <v>1193</v>
      </c>
      <c r="C565" s="525" t="s">
        <v>524</v>
      </c>
      <c r="D565" s="626" t="str">
        <f>'19 работа техники'!AB490</f>
        <v>Азота диоксид</v>
      </c>
      <c r="E565" s="701" t="str">
        <f>'19 работа техники'!AC490</f>
        <v>0301</v>
      </c>
      <c r="F565" s="631"/>
      <c r="G565" s="631"/>
      <c r="H565" s="631"/>
      <c r="I565" s="631"/>
      <c r="J565" s="631"/>
      <c r="K565" s="631"/>
      <c r="L565" s="631"/>
      <c r="M565" s="631"/>
      <c r="N565" s="631">
        <f>'19 работа техники'!AD490+'20 въезд-выезд авто'!AG386</f>
        <v>0.04</v>
      </c>
      <c r="O565" s="631">
        <f>'19 работа техники'!AE490+'20 въезд-выезд авто'!AH386</f>
        <v>0.12</v>
      </c>
    </row>
    <row r="566" spans="2:15" x14ac:dyDescent="0.25">
      <c r="B566" s="999"/>
      <c r="C566" s="528" t="s">
        <v>1204</v>
      </c>
      <c r="D566" s="633" t="str">
        <f>'19 работа техники'!AB491</f>
        <v>Азота оксид</v>
      </c>
      <c r="E566" s="702" t="str">
        <f>'19 работа техники'!AC491</f>
        <v>0304</v>
      </c>
      <c r="F566" s="638"/>
      <c r="G566" s="638"/>
      <c r="H566" s="638"/>
      <c r="I566" s="638"/>
      <c r="J566" s="638"/>
      <c r="K566" s="638"/>
      <c r="L566" s="638"/>
      <c r="M566" s="638"/>
      <c r="N566" s="638">
        <f>'19 работа техники'!AD491+'20 въезд-выезд авто'!AG387</f>
        <v>6.5000000000000006E-3</v>
      </c>
      <c r="O566" s="638">
        <f>'19 работа техники'!AE491+'20 въезд-выезд авто'!AH387</f>
        <v>1.95E-2</v>
      </c>
    </row>
    <row r="567" spans="2:15" x14ac:dyDescent="0.25">
      <c r="B567" s="999"/>
      <c r="C567" s="528"/>
      <c r="D567" s="633" t="str">
        <f>'19 работа техники'!AB492</f>
        <v>Серы диоксид</v>
      </c>
      <c r="E567" s="702" t="str">
        <f>'19 работа техники'!AC492</f>
        <v>0330</v>
      </c>
      <c r="F567" s="638"/>
      <c r="G567" s="638"/>
      <c r="H567" s="638"/>
      <c r="I567" s="638"/>
      <c r="J567" s="638"/>
      <c r="K567" s="638"/>
      <c r="L567" s="638"/>
      <c r="M567" s="638"/>
      <c r="N567" s="638">
        <f>'19 работа техники'!AD492+'20 въезд-выезд авто'!AG388</f>
        <v>4.1999999999999997E-3</v>
      </c>
      <c r="O567" s="638">
        <f>'19 работа техники'!AE492+'20 въезд-выезд авто'!AH388</f>
        <v>1.221E-2</v>
      </c>
    </row>
    <row r="568" spans="2:15" x14ac:dyDescent="0.25">
      <c r="B568" s="999"/>
      <c r="C568" s="528"/>
      <c r="D568" s="633" t="str">
        <f>'19 работа техники'!AB493</f>
        <v>Керосин</v>
      </c>
      <c r="E568" s="702" t="str">
        <f>'19 работа техники'!AC493</f>
        <v>2732</v>
      </c>
      <c r="F568" s="638"/>
      <c r="G568" s="638"/>
      <c r="H568" s="638"/>
      <c r="I568" s="638"/>
      <c r="J568" s="638"/>
      <c r="K568" s="638"/>
      <c r="L568" s="638"/>
      <c r="M568" s="638"/>
      <c r="N568" s="638">
        <f>'19 работа техники'!AD493+'20 въезд-выезд авто'!AG389</f>
        <v>1.4100000000000001E-2</v>
      </c>
      <c r="O568" s="638">
        <f>'19 работа техники'!AE493+'20 въезд-выезд авто'!AH389</f>
        <v>2.86E-2</v>
      </c>
    </row>
    <row r="569" spans="2:15" x14ac:dyDescent="0.25">
      <c r="B569" s="999"/>
      <c r="C569" s="528"/>
      <c r="D569" s="633" t="str">
        <f>'19 работа техники'!AB494</f>
        <v xml:space="preserve">Углерод </v>
      </c>
      <c r="E569" s="702" t="str">
        <f>'19 работа техники'!AC494</f>
        <v>0328</v>
      </c>
      <c r="F569" s="638"/>
      <c r="G569" s="638"/>
      <c r="H569" s="638"/>
      <c r="I569" s="638"/>
      <c r="J569" s="638"/>
      <c r="K569" s="638"/>
      <c r="L569" s="638"/>
      <c r="M569" s="638"/>
      <c r="N569" s="638">
        <f>'19 работа техники'!AD494+'20 въезд-выезд авто'!AG391</f>
        <v>6.6E-3</v>
      </c>
      <c r="O569" s="638">
        <f>'19 работа техники'!AE494+'20 въезд-выезд авто'!AH391</f>
        <v>1.644E-2</v>
      </c>
    </row>
    <row r="570" spans="2:15" x14ac:dyDescent="0.25">
      <c r="B570" s="999"/>
      <c r="C570" s="529"/>
      <c r="D570" s="640" t="str">
        <f>'19 работа техники'!AB495</f>
        <v>Углерода оксид</v>
      </c>
      <c r="E570" s="703" t="str">
        <f>'19 работа техники'!AC495</f>
        <v>0337</v>
      </c>
      <c r="F570" s="645"/>
      <c r="G570" s="645"/>
      <c r="H570" s="645"/>
      <c r="I570" s="645"/>
      <c r="J570" s="645"/>
      <c r="K570" s="645"/>
      <c r="L570" s="645"/>
      <c r="M570" s="645"/>
      <c r="N570" s="645">
        <f>'19 работа техники'!AD495+'20 въезд-выезд авто'!AG390</f>
        <v>7.5600000000000001E-2</v>
      </c>
      <c r="O570" s="645">
        <f>'19 работа техники'!AE495+'20 въезд-выезд авто'!AH390</f>
        <v>0.1032</v>
      </c>
    </row>
    <row r="571" spans="2:15" ht="16.5" customHeight="1" x14ac:dyDescent="0.25">
      <c r="B571" s="998" t="s">
        <v>1194</v>
      </c>
      <c r="C571" s="525" t="s">
        <v>529</v>
      </c>
      <c r="D571" s="626" t="str">
        <f>'19 работа техники'!AB497</f>
        <v>Азота диоксид</v>
      </c>
      <c r="E571" s="701" t="str">
        <f>'19 работа техники'!AC497</f>
        <v>0301</v>
      </c>
      <c r="F571" s="631"/>
      <c r="G571" s="631"/>
      <c r="H571" s="631"/>
      <c r="I571" s="631"/>
      <c r="J571" s="631"/>
      <c r="K571" s="631"/>
      <c r="L571" s="631">
        <f>'19 работа техники'!AD220+'20 въезд-выезд авто'!AG168</f>
        <v>0.04</v>
      </c>
      <c r="M571" s="631">
        <f>'19 работа техники'!AE220+'20 въезд-выезд авто'!AH168</f>
        <v>6.4199999999999993E-2</v>
      </c>
      <c r="N571" s="631">
        <f>'19 работа техники'!AD497+'20 въезд-выезд авто'!AG393</f>
        <v>0.04</v>
      </c>
      <c r="O571" s="631">
        <f>'19 работа техники'!AE497+'20 въезд-выезд авто'!AH393</f>
        <v>0.25650000000000001</v>
      </c>
    </row>
    <row r="572" spans="2:15" x14ac:dyDescent="0.25">
      <c r="B572" s="999"/>
      <c r="C572" s="528" t="s">
        <v>1203</v>
      </c>
      <c r="D572" s="633" t="str">
        <f>'19 работа техники'!AB498</f>
        <v>Азота оксид</v>
      </c>
      <c r="E572" s="702" t="str">
        <f>'19 работа техники'!AC498</f>
        <v>0304</v>
      </c>
      <c r="F572" s="638"/>
      <c r="G572" s="638"/>
      <c r="H572" s="638"/>
      <c r="I572" s="638"/>
      <c r="J572" s="638"/>
      <c r="K572" s="638"/>
      <c r="L572" s="638">
        <f>'19 работа техники'!AD221+'20 въезд-выезд авто'!AG169</f>
        <v>6.5000000000000006E-3</v>
      </c>
      <c r="M572" s="638">
        <f>'19 работа техники'!AE221+'20 въезд-выезд авто'!AH169</f>
        <v>1.0499999999999999E-2</v>
      </c>
      <c r="N572" s="638">
        <f>'19 работа техники'!AD498+'20 въезд-выезд авто'!AG394</f>
        <v>6.5000000000000006E-3</v>
      </c>
      <c r="O572" s="638">
        <f>'19 работа техники'!AE498+'20 въезд-выезд авто'!AH394</f>
        <v>4.1600000000000005E-2</v>
      </c>
    </row>
    <row r="573" spans="2:15" x14ac:dyDescent="0.25">
      <c r="B573" s="999"/>
      <c r="C573" s="528"/>
      <c r="D573" s="633" t="str">
        <f>'19 работа техники'!AB499</f>
        <v>Серы диоксид</v>
      </c>
      <c r="E573" s="702" t="str">
        <f>'19 работа техники'!AC499</f>
        <v>0330</v>
      </c>
      <c r="F573" s="638"/>
      <c r="G573" s="638"/>
      <c r="H573" s="638"/>
      <c r="I573" s="638"/>
      <c r="J573" s="638"/>
      <c r="K573" s="638"/>
      <c r="L573" s="638">
        <f>'19 работа техники'!AD222+'20 въезд-выезд авто'!AG170</f>
        <v>4.1999999999999997E-3</v>
      </c>
      <c r="M573" s="638">
        <f>'19 работа техники'!AE222+'20 въезд-выезд авто'!AH170</f>
        <v>7.5100000000000002E-3</v>
      </c>
      <c r="N573" s="638">
        <f>'19 работа техники'!AD499+'20 въезд-выезд авто'!AG395</f>
        <v>4.1999999999999997E-3</v>
      </c>
      <c r="O573" s="638">
        <f>'19 работа техники'!AE499+'20 въезд-выезд авто'!AH395</f>
        <v>2.7790000000000002E-2</v>
      </c>
    </row>
    <row r="574" spans="2:15" x14ac:dyDescent="0.25">
      <c r="B574" s="999"/>
      <c r="C574" s="528"/>
      <c r="D574" s="633" t="str">
        <f>'19 работа техники'!AB500</f>
        <v>Керосин</v>
      </c>
      <c r="E574" s="702" t="str">
        <f>'19 работа техники'!AC500</f>
        <v>2732</v>
      </c>
      <c r="F574" s="638"/>
      <c r="G574" s="638"/>
      <c r="H574" s="638"/>
      <c r="I574" s="638"/>
      <c r="J574" s="638"/>
      <c r="K574" s="638"/>
      <c r="L574" s="638">
        <f>'19 работа техники'!AD223+'20 въезд-выезд авто'!AG171</f>
        <v>1.4100000000000001E-2</v>
      </c>
      <c r="M574" s="638">
        <f>'19 работа техники'!AE223+'20 въезд-выезд авто'!AH171</f>
        <v>1.8200000000000001E-2</v>
      </c>
      <c r="N574" s="638">
        <f>'19 работа техники'!AD500+'20 въезд-выезд авто'!AG396</f>
        <v>1.4100000000000001E-2</v>
      </c>
      <c r="O574" s="638">
        <f>'19 работа техники'!AE500+'20 въезд-выезд авто'!AH396</f>
        <v>6.6099999999999992E-2</v>
      </c>
    </row>
    <row r="575" spans="2:15" x14ac:dyDescent="0.25">
      <c r="B575" s="999"/>
      <c r="C575" s="528"/>
      <c r="D575" s="633" t="str">
        <f>'19 работа техники'!AB501</f>
        <v xml:space="preserve">Углерод </v>
      </c>
      <c r="E575" s="702" t="str">
        <f>'19 работа техники'!AC501</f>
        <v>0328</v>
      </c>
      <c r="F575" s="638"/>
      <c r="G575" s="638"/>
      <c r="H575" s="638"/>
      <c r="I575" s="638"/>
      <c r="J575" s="638"/>
      <c r="K575" s="638"/>
      <c r="L575" s="638">
        <f>'19 работа техники'!AD224+'20 въезд-выезд авто'!AG173</f>
        <v>6.6E-3</v>
      </c>
      <c r="M575" s="638">
        <f>'19 работа техники'!AE224+'20 въезд-выезд авто'!AH173</f>
        <v>1.2529999999999999E-2</v>
      </c>
      <c r="N575" s="638">
        <f>'19 работа техники'!AD501+'20 въезд-выезд авто'!AG398</f>
        <v>6.6E-3</v>
      </c>
      <c r="O575" s="638">
        <f>'19 работа техники'!AE501+'20 въезд-выезд авто'!AH398</f>
        <v>4.2430000000000002E-2</v>
      </c>
    </row>
    <row r="576" spans="2:15" x14ac:dyDescent="0.25">
      <c r="B576" s="999"/>
      <c r="C576" s="529"/>
      <c r="D576" s="640" t="str">
        <f>'19 работа техники'!AB502</f>
        <v>Углерода оксид</v>
      </c>
      <c r="E576" s="703" t="str">
        <f>'19 работа техники'!AC502</f>
        <v>0337</v>
      </c>
      <c r="F576" s="645"/>
      <c r="G576" s="645"/>
      <c r="H576" s="645"/>
      <c r="I576" s="645"/>
      <c r="J576" s="645"/>
      <c r="K576" s="645"/>
      <c r="L576" s="645">
        <f>'19 работа техники'!AD225+'20 въезд-выезд авто'!AG172</f>
        <v>7.5600000000000001E-2</v>
      </c>
      <c r="M576" s="645">
        <f>'19 работа техники'!AE225+'20 въезд-выезд авто'!AH172</f>
        <v>7.0699999999999999E-2</v>
      </c>
      <c r="N576" s="645">
        <f>'19 работа техники'!AD502+'20 въезд-выезд авто'!AG397</f>
        <v>7.5600000000000001E-2</v>
      </c>
      <c r="O576" s="645">
        <f>'19 работа техники'!AE502+'20 въезд-выезд авто'!AH397</f>
        <v>0.24759999999999999</v>
      </c>
    </row>
    <row r="577" spans="2:15" ht="16.5" customHeight="1" x14ac:dyDescent="0.25">
      <c r="B577" s="998" t="s">
        <v>1195</v>
      </c>
      <c r="C577" s="525" t="s">
        <v>532</v>
      </c>
      <c r="D577" s="626" t="str">
        <f>'19 работа техники'!AB504</f>
        <v>Азота диоксид</v>
      </c>
      <c r="E577" s="701" t="str">
        <f>'19 работа техники'!AC504</f>
        <v>0301</v>
      </c>
      <c r="F577" s="631"/>
      <c r="G577" s="631"/>
      <c r="H577" s="631"/>
      <c r="I577" s="631"/>
      <c r="J577" s="631"/>
      <c r="K577" s="631"/>
      <c r="L577" s="631">
        <f>'19 работа техники'!AD227+'20 въезд-выезд авто'!AG175</f>
        <v>0.04</v>
      </c>
      <c r="M577" s="631">
        <f>'19 работа техники'!AE227+'20 въезд-выезд авто'!AH175</f>
        <v>6.4199999999999993E-2</v>
      </c>
      <c r="N577" s="631">
        <f>'19 работа техники'!AD504+'20 въезд-выезд авто'!AG400</f>
        <v>0.04</v>
      </c>
      <c r="O577" s="631">
        <f>'19 работа техники'!AE504+'20 въезд-выезд авто'!AH400</f>
        <v>0.25650000000000001</v>
      </c>
    </row>
    <row r="578" spans="2:15" x14ac:dyDescent="0.25">
      <c r="B578" s="999"/>
      <c r="C578" s="528" t="s">
        <v>1204</v>
      </c>
      <c r="D578" s="633" t="str">
        <f>'19 работа техники'!AB505</f>
        <v>Азота оксид</v>
      </c>
      <c r="E578" s="702" t="str">
        <f>'19 работа техники'!AC505</f>
        <v>0304</v>
      </c>
      <c r="F578" s="638"/>
      <c r="G578" s="638"/>
      <c r="H578" s="638"/>
      <c r="I578" s="638"/>
      <c r="J578" s="638"/>
      <c r="K578" s="638"/>
      <c r="L578" s="638">
        <f>'19 работа техники'!AD228+'20 въезд-выезд авто'!AG176</f>
        <v>6.5000000000000006E-3</v>
      </c>
      <c r="M578" s="638">
        <f>'19 работа техники'!AE228+'20 въезд-выезд авто'!AH176</f>
        <v>1.0499999999999999E-2</v>
      </c>
      <c r="N578" s="638">
        <f>'19 работа техники'!AD505+'20 въезд-выезд авто'!AG401</f>
        <v>6.5000000000000006E-3</v>
      </c>
      <c r="O578" s="638">
        <f>'19 работа техники'!AE505+'20 въезд-выезд авто'!AH401</f>
        <v>4.1600000000000005E-2</v>
      </c>
    </row>
    <row r="579" spans="2:15" x14ac:dyDescent="0.25">
      <c r="B579" s="999"/>
      <c r="C579" s="528"/>
      <c r="D579" s="633" t="str">
        <f>'19 работа техники'!AB506</f>
        <v>Серы диоксид</v>
      </c>
      <c r="E579" s="702" t="str">
        <f>'19 работа техники'!AC506</f>
        <v>0330</v>
      </c>
      <c r="F579" s="638"/>
      <c r="G579" s="638"/>
      <c r="H579" s="638"/>
      <c r="I579" s="638"/>
      <c r="J579" s="638"/>
      <c r="K579" s="638"/>
      <c r="L579" s="638">
        <f>'19 работа техники'!AD229+'20 въезд-выезд авто'!AG177</f>
        <v>4.1999999999999997E-3</v>
      </c>
      <c r="M579" s="638">
        <f>'19 работа техники'!AE229+'20 въезд-выезд авто'!AH177</f>
        <v>7.5100000000000002E-3</v>
      </c>
      <c r="N579" s="638">
        <f>'19 работа техники'!AD506+'20 въезд-выезд авто'!AG402</f>
        <v>4.1999999999999997E-3</v>
      </c>
      <c r="O579" s="638">
        <f>'19 работа техники'!AE506+'20 въезд-выезд авто'!AH402</f>
        <v>2.7790000000000002E-2</v>
      </c>
    </row>
    <row r="580" spans="2:15" x14ac:dyDescent="0.25">
      <c r="B580" s="999"/>
      <c r="C580" s="528"/>
      <c r="D580" s="633" t="str">
        <f>'19 работа техники'!AB507</f>
        <v>Керосин</v>
      </c>
      <c r="E580" s="702" t="str">
        <f>'19 работа техники'!AC507</f>
        <v>2732</v>
      </c>
      <c r="F580" s="638"/>
      <c r="G580" s="638"/>
      <c r="H580" s="638"/>
      <c r="I580" s="638"/>
      <c r="J580" s="638"/>
      <c r="K580" s="638"/>
      <c r="L580" s="638">
        <f>'19 работа техники'!AD230+'20 въезд-выезд авто'!AG178</f>
        <v>1.4100000000000001E-2</v>
      </c>
      <c r="M580" s="638">
        <f>'19 работа техники'!AE230+'20 въезд-выезд авто'!AH178</f>
        <v>1.8200000000000001E-2</v>
      </c>
      <c r="N580" s="638">
        <f>'19 работа техники'!AD507+'20 въезд-выезд авто'!AG403</f>
        <v>1.4100000000000001E-2</v>
      </c>
      <c r="O580" s="638">
        <f>'19 работа техники'!AE507+'20 въезд-выезд авто'!AH403</f>
        <v>6.6099999999999992E-2</v>
      </c>
    </row>
    <row r="581" spans="2:15" x14ac:dyDescent="0.25">
      <c r="B581" s="999"/>
      <c r="C581" s="528"/>
      <c r="D581" s="633" t="str">
        <f>'19 работа техники'!AB508</f>
        <v xml:space="preserve">Углерод </v>
      </c>
      <c r="E581" s="702" t="str">
        <f>'19 работа техники'!AC508</f>
        <v>0328</v>
      </c>
      <c r="F581" s="638"/>
      <c r="G581" s="638"/>
      <c r="H581" s="638"/>
      <c r="I581" s="638"/>
      <c r="J581" s="638"/>
      <c r="K581" s="638"/>
      <c r="L581" s="638">
        <f>'19 работа техники'!AD231+'20 въезд-выезд авто'!AG180</f>
        <v>6.6E-3</v>
      </c>
      <c r="M581" s="638">
        <f>'19 работа техники'!AE231+'20 въезд-выезд авто'!AH180</f>
        <v>1.2529999999999999E-2</v>
      </c>
      <c r="N581" s="638">
        <f>'19 работа техники'!AD508+'20 въезд-выезд авто'!AG405</f>
        <v>6.6E-3</v>
      </c>
      <c r="O581" s="638">
        <f>'19 работа техники'!AE508+'20 въезд-выезд авто'!AH405</f>
        <v>4.2430000000000002E-2</v>
      </c>
    </row>
    <row r="582" spans="2:15" x14ac:dyDescent="0.25">
      <c r="B582" s="999"/>
      <c r="C582" s="529"/>
      <c r="D582" s="640" t="str">
        <f>'19 работа техники'!AB509</f>
        <v>Углерода оксид</v>
      </c>
      <c r="E582" s="703" t="str">
        <f>'19 работа техники'!AC509</f>
        <v>0337</v>
      </c>
      <c r="F582" s="645"/>
      <c r="G582" s="645"/>
      <c r="H582" s="645"/>
      <c r="I582" s="645"/>
      <c r="J582" s="645"/>
      <c r="K582" s="645"/>
      <c r="L582" s="645">
        <f>'19 работа техники'!AD232+'20 въезд-выезд авто'!AG179</f>
        <v>7.5600000000000001E-2</v>
      </c>
      <c r="M582" s="645">
        <f>'19 работа техники'!AE232+'20 въезд-выезд авто'!AH179</f>
        <v>7.0699999999999999E-2</v>
      </c>
      <c r="N582" s="645">
        <f>'19 работа техники'!AD509+'20 въезд-выезд авто'!AG404</f>
        <v>7.5600000000000001E-2</v>
      </c>
      <c r="O582" s="645">
        <f>'19 работа техники'!AE509+'20 въезд-выезд авто'!AH404</f>
        <v>0.24759999999999999</v>
      </c>
    </row>
    <row r="583" spans="2:15" ht="16.5" customHeight="1" x14ac:dyDescent="0.25">
      <c r="B583" s="998" t="s">
        <v>1196</v>
      </c>
      <c r="C583" s="525" t="s">
        <v>535</v>
      </c>
      <c r="D583" s="626" t="str">
        <f>'19 работа техники'!AB511</f>
        <v>Азота диоксид</v>
      </c>
      <c r="E583" s="701" t="str">
        <f>'19 работа техники'!AC511</f>
        <v>0301</v>
      </c>
      <c r="F583" s="631"/>
      <c r="G583" s="631"/>
      <c r="H583" s="631"/>
      <c r="I583" s="631"/>
      <c r="J583" s="631"/>
      <c r="K583" s="631"/>
      <c r="L583" s="631">
        <f>'19 работа техники'!AD234+'20 въезд-выезд авто'!AG182</f>
        <v>0.04</v>
      </c>
      <c r="M583" s="631">
        <f>'19 работа техники'!AE234+'20 въезд-выезд авто'!AH182</f>
        <v>6.4199999999999993E-2</v>
      </c>
      <c r="N583" s="631">
        <f>'19 работа техники'!AD511+'20 въезд-выезд авто'!AG407</f>
        <v>0.04</v>
      </c>
      <c r="O583" s="631">
        <f>'19 работа техники'!AE511+'20 въезд-выезд авто'!AH407</f>
        <v>0.25650000000000001</v>
      </c>
    </row>
    <row r="584" spans="2:15" x14ac:dyDescent="0.25">
      <c r="B584" s="999"/>
      <c r="C584" s="528" t="s">
        <v>1204</v>
      </c>
      <c r="D584" s="633" t="str">
        <f>'19 работа техники'!AB512</f>
        <v>Азота оксид</v>
      </c>
      <c r="E584" s="702" t="str">
        <f>'19 работа техники'!AC512</f>
        <v>0304</v>
      </c>
      <c r="F584" s="638"/>
      <c r="G584" s="638"/>
      <c r="H584" s="638"/>
      <c r="I584" s="638"/>
      <c r="J584" s="638"/>
      <c r="K584" s="638"/>
      <c r="L584" s="638">
        <f>'19 работа техники'!AD235+'20 въезд-выезд авто'!AG183</f>
        <v>6.5000000000000006E-3</v>
      </c>
      <c r="M584" s="638">
        <f>'19 работа техники'!AE235+'20 въезд-выезд авто'!AH183</f>
        <v>1.0499999999999999E-2</v>
      </c>
      <c r="N584" s="638">
        <f>'19 работа техники'!AD512+'20 въезд-выезд авто'!AG408</f>
        <v>6.5000000000000006E-3</v>
      </c>
      <c r="O584" s="638">
        <f>'19 работа техники'!AE512+'20 въезд-выезд авто'!AH408</f>
        <v>4.1600000000000005E-2</v>
      </c>
    </row>
    <row r="585" spans="2:15" x14ac:dyDescent="0.25">
      <c r="B585" s="999"/>
      <c r="C585" s="528"/>
      <c r="D585" s="633" t="str">
        <f>'19 работа техники'!AB513</f>
        <v>Серы диоксид</v>
      </c>
      <c r="E585" s="702" t="str">
        <f>'19 работа техники'!AC513</f>
        <v>0330</v>
      </c>
      <c r="F585" s="638"/>
      <c r="G585" s="638"/>
      <c r="H585" s="638"/>
      <c r="I585" s="638"/>
      <c r="J585" s="638"/>
      <c r="K585" s="638"/>
      <c r="L585" s="638">
        <f>'19 работа техники'!AD236+'20 въезд-выезд авто'!AG184</f>
        <v>4.1999999999999997E-3</v>
      </c>
      <c r="M585" s="638">
        <f>'19 работа техники'!AE236+'20 въезд-выезд авто'!AH184</f>
        <v>7.5100000000000002E-3</v>
      </c>
      <c r="N585" s="638">
        <f>'19 работа техники'!AD513+'20 въезд-выезд авто'!AG409</f>
        <v>4.1999999999999997E-3</v>
      </c>
      <c r="O585" s="638">
        <f>'19 работа техники'!AE513+'20 въезд-выезд авто'!AH409</f>
        <v>2.7790000000000002E-2</v>
      </c>
    </row>
    <row r="586" spans="2:15" x14ac:dyDescent="0.25">
      <c r="B586" s="999"/>
      <c r="C586" s="528"/>
      <c r="D586" s="633" t="str">
        <f>'19 работа техники'!AB514</f>
        <v>Керосин</v>
      </c>
      <c r="E586" s="702" t="str">
        <f>'19 работа техники'!AC514</f>
        <v>2732</v>
      </c>
      <c r="F586" s="638"/>
      <c r="G586" s="638"/>
      <c r="H586" s="638"/>
      <c r="I586" s="638"/>
      <c r="J586" s="638"/>
      <c r="K586" s="638"/>
      <c r="L586" s="638">
        <f>'19 работа техники'!AD237+'20 въезд-выезд авто'!AG185</f>
        <v>1.4100000000000001E-2</v>
      </c>
      <c r="M586" s="638">
        <f>'19 работа техники'!AE237+'20 въезд-выезд авто'!AH185</f>
        <v>1.8200000000000001E-2</v>
      </c>
      <c r="N586" s="638">
        <f>'19 работа техники'!AD514+'20 въезд-выезд авто'!AG410</f>
        <v>1.4100000000000001E-2</v>
      </c>
      <c r="O586" s="638">
        <f>'19 работа техники'!AE514+'20 въезд-выезд авто'!AH410</f>
        <v>6.6099999999999992E-2</v>
      </c>
    </row>
    <row r="587" spans="2:15" x14ac:dyDescent="0.25">
      <c r="B587" s="999"/>
      <c r="C587" s="528"/>
      <c r="D587" s="633" t="str">
        <f>'19 работа техники'!AB515</f>
        <v xml:space="preserve">Углерод </v>
      </c>
      <c r="E587" s="702" t="str">
        <f>'19 работа техники'!AC515</f>
        <v>0328</v>
      </c>
      <c r="F587" s="638"/>
      <c r="G587" s="638"/>
      <c r="H587" s="638"/>
      <c r="I587" s="638"/>
      <c r="J587" s="638"/>
      <c r="K587" s="638"/>
      <c r="L587" s="638">
        <f>'19 работа техники'!AD238+'20 въезд-выезд авто'!AG187</f>
        <v>6.6E-3</v>
      </c>
      <c r="M587" s="638">
        <f>'19 работа техники'!AE238+'20 въезд-выезд авто'!AH187</f>
        <v>1.2529999999999999E-2</v>
      </c>
      <c r="N587" s="638">
        <f>'19 работа техники'!AD515+'20 въезд-выезд авто'!AG412</f>
        <v>6.6E-3</v>
      </c>
      <c r="O587" s="638">
        <f>'19 работа техники'!AE515+'20 въезд-выезд авто'!AH412</f>
        <v>4.2430000000000002E-2</v>
      </c>
    </row>
    <row r="588" spans="2:15" x14ac:dyDescent="0.25">
      <c r="B588" s="999"/>
      <c r="C588" s="529"/>
      <c r="D588" s="640" t="str">
        <f>'19 работа техники'!AB516</f>
        <v>Углерода оксид</v>
      </c>
      <c r="E588" s="703" t="str">
        <f>'19 работа техники'!AC516</f>
        <v>0337</v>
      </c>
      <c r="F588" s="645"/>
      <c r="G588" s="645"/>
      <c r="H588" s="645"/>
      <c r="I588" s="645"/>
      <c r="J588" s="645"/>
      <c r="K588" s="645"/>
      <c r="L588" s="645">
        <f>'19 работа техники'!AD239+'20 въезд-выезд авто'!AG186</f>
        <v>7.5600000000000001E-2</v>
      </c>
      <c r="M588" s="645">
        <f>'19 работа техники'!AE239+'20 въезд-выезд авто'!AH186</f>
        <v>7.0699999999999999E-2</v>
      </c>
      <c r="N588" s="645">
        <f>'19 работа техники'!AD516+'20 въезд-выезд авто'!AG411</f>
        <v>7.5600000000000001E-2</v>
      </c>
      <c r="O588" s="645">
        <f>'19 работа техники'!AE516+'20 въезд-выезд авто'!AH411</f>
        <v>0.24759999999999999</v>
      </c>
    </row>
    <row r="589" spans="2:15" ht="16.5" customHeight="1" x14ac:dyDescent="0.25">
      <c r="B589" s="998" t="s">
        <v>1197</v>
      </c>
      <c r="C589" s="525" t="s">
        <v>536</v>
      </c>
      <c r="D589" s="626" t="str">
        <f>'19 работа техники'!AB518</f>
        <v>Азота диоксид</v>
      </c>
      <c r="E589" s="701" t="str">
        <f>'19 работа техники'!AC518</f>
        <v>0301</v>
      </c>
      <c r="F589" s="631"/>
      <c r="G589" s="631"/>
      <c r="H589" s="631"/>
      <c r="I589" s="631"/>
      <c r="J589" s="631"/>
      <c r="K589" s="631"/>
      <c r="L589" s="631"/>
      <c r="M589" s="631"/>
      <c r="N589" s="631">
        <f>'19 работа техники'!AD518+'20 въезд-выезд авто'!AG414</f>
        <v>0.04</v>
      </c>
      <c r="O589" s="631">
        <f>'19 работа техники'!AE518+'20 въезд-выезд авто'!AH414</f>
        <v>0.12</v>
      </c>
    </row>
    <row r="590" spans="2:15" x14ac:dyDescent="0.25">
      <c r="B590" s="999"/>
      <c r="C590" s="528" t="s">
        <v>1204</v>
      </c>
      <c r="D590" s="633" t="str">
        <f>'19 работа техники'!AB519</f>
        <v>Азота оксид</v>
      </c>
      <c r="E590" s="702" t="str">
        <f>'19 работа техники'!AC519</f>
        <v>0304</v>
      </c>
      <c r="F590" s="638"/>
      <c r="G590" s="638"/>
      <c r="H590" s="638"/>
      <c r="I590" s="638"/>
      <c r="J590" s="638"/>
      <c r="K590" s="638"/>
      <c r="L590" s="638"/>
      <c r="M590" s="638"/>
      <c r="N590" s="638">
        <f>'19 работа техники'!AD519+'20 въезд-выезд авто'!AG415</f>
        <v>6.5000000000000006E-3</v>
      </c>
      <c r="O590" s="638">
        <f>'19 работа техники'!AE519+'20 въезд-выезд авто'!AH415</f>
        <v>1.95E-2</v>
      </c>
    </row>
    <row r="591" spans="2:15" x14ac:dyDescent="0.25">
      <c r="B591" s="999"/>
      <c r="C591" s="528"/>
      <c r="D591" s="633" t="str">
        <f>'19 работа техники'!AB520</f>
        <v>Серы диоксид</v>
      </c>
      <c r="E591" s="702" t="str">
        <f>'19 работа техники'!AC520</f>
        <v>0330</v>
      </c>
      <c r="F591" s="638"/>
      <c r="G591" s="638"/>
      <c r="H591" s="638"/>
      <c r="I591" s="638"/>
      <c r="J591" s="638"/>
      <c r="K591" s="638"/>
      <c r="L591" s="638"/>
      <c r="M591" s="638"/>
      <c r="N591" s="638">
        <f>'19 работа техники'!AD520+'20 въезд-выезд авто'!AG416</f>
        <v>4.1999999999999997E-3</v>
      </c>
      <c r="O591" s="638">
        <f>'19 работа техники'!AE520+'20 въезд-выезд авто'!AH416</f>
        <v>1.221E-2</v>
      </c>
    </row>
    <row r="592" spans="2:15" x14ac:dyDescent="0.25">
      <c r="B592" s="999"/>
      <c r="C592" s="528"/>
      <c r="D592" s="633" t="str">
        <f>'19 работа техники'!AB521</f>
        <v>Керосин</v>
      </c>
      <c r="E592" s="702" t="str">
        <f>'19 работа техники'!AC521</f>
        <v>2732</v>
      </c>
      <c r="F592" s="638"/>
      <c r="G592" s="638"/>
      <c r="H592" s="638"/>
      <c r="I592" s="638"/>
      <c r="J592" s="638"/>
      <c r="K592" s="638"/>
      <c r="L592" s="638"/>
      <c r="M592" s="638"/>
      <c r="N592" s="638">
        <f>'19 работа техники'!AD521+'20 въезд-выезд авто'!AG417</f>
        <v>1.4100000000000001E-2</v>
      </c>
      <c r="O592" s="638">
        <f>'19 работа техники'!AE521+'20 въезд-выезд авто'!AH417</f>
        <v>2.86E-2</v>
      </c>
    </row>
    <row r="593" spans="2:15" x14ac:dyDescent="0.25">
      <c r="B593" s="999"/>
      <c r="C593" s="528"/>
      <c r="D593" s="633" t="str">
        <f>'19 работа техники'!AB522</f>
        <v xml:space="preserve">Углерод </v>
      </c>
      <c r="E593" s="702" t="str">
        <f>'19 работа техники'!AC522</f>
        <v>0328</v>
      </c>
      <c r="F593" s="638"/>
      <c r="G593" s="638"/>
      <c r="H593" s="638"/>
      <c r="I593" s="638"/>
      <c r="J593" s="638"/>
      <c r="K593" s="638"/>
      <c r="L593" s="638"/>
      <c r="M593" s="638"/>
      <c r="N593" s="638">
        <f>'19 работа техники'!AD522+'20 въезд-выезд авто'!AG419</f>
        <v>6.6E-3</v>
      </c>
      <c r="O593" s="638">
        <f>'19 работа техники'!AE522+'20 въезд-выезд авто'!AH419</f>
        <v>1.644E-2</v>
      </c>
    </row>
    <row r="594" spans="2:15" x14ac:dyDescent="0.25">
      <c r="B594" s="999"/>
      <c r="C594" s="529"/>
      <c r="D594" s="640" t="str">
        <f>'19 работа техники'!AB523</f>
        <v>Углерода оксид</v>
      </c>
      <c r="E594" s="703" t="str">
        <f>'19 работа техники'!AC523</f>
        <v>0337</v>
      </c>
      <c r="F594" s="645"/>
      <c r="G594" s="645"/>
      <c r="H594" s="645"/>
      <c r="I594" s="645"/>
      <c r="J594" s="645"/>
      <c r="K594" s="645"/>
      <c r="L594" s="645"/>
      <c r="M594" s="645"/>
      <c r="N594" s="645">
        <f>'19 работа техники'!AD523+'20 въезд-выезд авто'!AG418</f>
        <v>7.5600000000000001E-2</v>
      </c>
      <c r="O594" s="645">
        <f>'19 работа техники'!AE523+'20 въезд-выезд авто'!AH418</f>
        <v>0.1032</v>
      </c>
    </row>
    <row r="595" spans="2:15" ht="16.5" customHeight="1" x14ac:dyDescent="0.25">
      <c r="B595" s="998" t="s">
        <v>1198</v>
      </c>
      <c r="C595" s="525" t="s">
        <v>537</v>
      </c>
      <c r="D595" s="626" t="str">
        <f>'19 работа техники'!AB525</f>
        <v>Азота диоксид</v>
      </c>
      <c r="E595" s="701" t="str">
        <f>'19 работа техники'!AC525</f>
        <v>0301</v>
      </c>
      <c r="F595" s="631"/>
      <c r="G595" s="631"/>
      <c r="H595" s="631"/>
      <c r="I595" s="631"/>
      <c r="J595" s="631"/>
      <c r="K595" s="631"/>
      <c r="L595" s="631"/>
      <c r="M595" s="631"/>
      <c r="N595" s="631">
        <f>'19 работа техники'!AD525+'20 въезд-выезд авто'!AG421</f>
        <v>0.04</v>
      </c>
      <c r="O595" s="631">
        <f>'19 работа техники'!AE525+'20 въезд-выезд авто'!AH421</f>
        <v>0.12</v>
      </c>
    </row>
    <row r="596" spans="2:15" x14ac:dyDescent="0.25">
      <c r="B596" s="999"/>
      <c r="C596" s="528" t="s">
        <v>1204</v>
      </c>
      <c r="D596" s="633" t="str">
        <f>'19 работа техники'!AB526</f>
        <v>Азота оксид</v>
      </c>
      <c r="E596" s="702" t="str">
        <f>'19 работа техники'!AC526</f>
        <v>0304</v>
      </c>
      <c r="F596" s="638"/>
      <c r="G596" s="638"/>
      <c r="H596" s="638"/>
      <c r="I596" s="638"/>
      <c r="J596" s="638"/>
      <c r="K596" s="638"/>
      <c r="L596" s="638"/>
      <c r="M596" s="638"/>
      <c r="N596" s="638">
        <f>'19 работа техники'!AD526+'20 въезд-выезд авто'!AG422</f>
        <v>6.5000000000000006E-3</v>
      </c>
      <c r="O596" s="638">
        <f>'19 работа техники'!AE526+'20 въезд-выезд авто'!AH422</f>
        <v>1.95E-2</v>
      </c>
    </row>
    <row r="597" spans="2:15" x14ac:dyDescent="0.25">
      <c r="B597" s="999"/>
      <c r="C597" s="528"/>
      <c r="D597" s="633" t="str">
        <f>'19 работа техники'!AB527</f>
        <v>Серы диоксид</v>
      </c>
      <c r="E597" s="702" t="str">
        <f>'19 работа техники'!AC527</f>
        <v>0330</v>
      </c>
      <c r="F597" s="638"/>
      <c r="G597" s="638"/>
      <c r="H597" s="638"/>
      <c r="I597" s="638"/>
      <c r="J597" s="638"/>
      <c r="K597" s="638"/>
      <c r="L597" s="638"/>
      <c r="M597" s="638"/>
      <c r="N597" s="638">
        <f>'19 работа техники'!AD527+'20 въезд-выезд авто'!AG423</f>
        <v>4.1999999999999997E-3</v>
      </c>
      <c r="O597" s="638">
        <f>'19 работа техники'!AE527+'20 въезд-выезд авто'!AH423</f>
        <v>1.221E-2</v>
      </c>
    </row>
    <row r="598" spans="2:15" x14ac:dyDescent="0.25">
      <c r="B598" s="999"/>
      <c r="C598" s="528"/>
      <c r="D598" s="633" t="str">
        <f>'19 работа техники'!AB528</f>
        <v>Керосин</v>
      </c>
      <c r="E598" s="702" t="str">
        <f>'19 работа техники'!AC528</f>
        <v>2732</v>
      </c>
      <c r="F598" s="638"/>
      <c r="G598" s="638"/>
      <c r="H598" s="638"/>
      <c r="I598" s="638"/>
      <c r="J598" s="638"/>
      <c r="K598" s="638"/>
      <c r="L598" s="638"/>
      <c r="M598" s="638"/>
      <c r="N598" s="638">
        <f>'19 работа техники'!AD528+'20 въезд-выезд авто'!AG424</f>
        <v>1.4100000000000001E-2</v>
      </c>
      <c r="O598" s="638">
        <f>'19 работа техники'!AE528+'20 въезд-выезд авто'!AH424</f>
        <v>2.86E-2</v>
      </c>
    </row>
    <row r="599" spans="2:15" x14ac:dyDescent="0.25">
      <c r="B599" s="999"/>
      <c r="C599" s="528"/>
      <c r="D599" s="633" t="str">
        <f>'19 работа техники'!AB529</f>
        <v xml:space="preserve">Углерод </v>
      </c>
      <c r="E599" s="702" t="str">
        <f>'19 работа техники'!AC529</f>
        <v>0328</v>
      </c>
      <c r="F599" s="638"/>
      <c r="G599" s="638"/>
      <c r="H599" s="638"/>
      <c r="I599" s="638"/>
      <c r="J599" s="638"/>
      <c r="K599" s="638"/>
      <c r="L599" s="638"/>
      <c r="M599" s="638"/>
      <c r="N599" s="638">
        <f>'19 работа техники'!AD529+'20 въезд-выезд авто'!AG426</f>
        <v>6.6E-3</v>
      </c>
      <c r="O599" s="638">
        <f>'19 работа техники'!AE529+'20 въезд-выезд авто'!AH426</f>
        <v>1.644E-2</v>
      </c>
    </row>
    <row r="600" spans="2:15" x14ac:dyDescent="0.25">
      <c r="B600" s="999"/>
      <c r="C600" s="529"/>
      <c r="D600" s="640" t="str">
        <f>'19 работа техники'!AB530</f>
        <v>Углерода оксид</v>
      </c>
      <c r="E600" s="703" t="str">
        <f>'19 работа техники'!AC530</f>
        <v>0337</v>
      </c>
      <c r="F600" s="645"/>
      <c r="G600" s="645"/>
      <c r="H600" s="645"/>
      <c r="I600" s="645"/>
      <c r="J600" s="645"/>
      <c r="K600" s="645"/>
      <c r="L600" s="645"/>
      <c r="M600" s="645"/>
      <c r="N600" s="645">
        <f>'19 работа техники'!AD530+'20 въезд-выезд авто'!AG425</f>
        <v>7.5600000000000001E-2</v>
      </c>
      <c r="O600" s="645">
        <f>'19 работа техники'!AE530+'20 въезд-выезд авто'!AH425</f>
        <v>0.1032</v>
      </c>
    </row>
    <row r="601" spans="2:15" ht="16.5" customHeight="1" x14ac:dyDescent="0.25">
      <c r="B601" s="998" t="s">
        <v>691</v>
      </c>
      <c r="C601" s="525" t="s">
        <v>539</v>
      </c>
      <c r="D601" s="626" t="str">
        <f>'19 работа техники'!AB532</f>
        <v>Азота диоксид</v>
      </c>
      <c r="E601" s="701" t="str">
        <f>'19 работа техники'!AC532</f>
        <v>0301</v>
      </c>
      <c r="F601" s="631"/>
      <c r="G601" s="631"/>
      <c r="H601" s="631"/>
      <c r="I601" s="631"/>
      <c r="J601" s="631"/>
      <c r="K601" s="631"/>
      <c r="L601" s="631">
        <f>'19 работа техники'!AD241+'20 въезд-выезд авто'!AG189</f>
        <v>0.04</v>
      </c>
      <c r="M601" s="631">
        <f>'19 работа техники'!AE241+'20 въезд-выезд авто'!AH189</f>
        <v>6.4199999999999993E-2</v>
      </c>
      <c r="N601" s="631">
        <f>'19 работа техники'!AD532+'20 въезд-выезд авто'!AG428</f>
        <v>0.04</v>
      </c>
      <c r="O601" s="631">
        <f>'19 работа техники'!AE532+'20 въезд-выезд авто'!AH428</f>
        <v>0.25650000000000001</v>
      </c>
    </row>
    <row r="602" spans="2:15" x14ac:dyDescent="0.25">
      <c r="B602" s="999"/>
      <c r="C602" s="528" t="s">
        <v>1204</v>
      </c>
      <c r="D602" s="633" t="str">
        <f>'19 работа техники'!AB533</f>
        <v>Азота оксид</v>
      </c>
      <c r="E602" s="702" t="str">
        <f>'19 работа техники'!AC533</f>
        <v>0304</v>
      </c>
      <c r="F602" s="638"/>
      <c r="G602" s="638"/>
      <c r="H602" s="638"/>
      <c r="I602" s="638"/>
      <c r="J602" s="638"/>
      <c r="K602" s="638"/>
      <c r="L602" s="638">
        <f>'19 работа техники'!AD242+'20 въезд-выезд авто'!AG190</f>
        <v>6.5000000000000006E-3</v>
      </c>
      <c r="M602" s="638">
        <f>'19 работа техники'!AE242+'20 въезд-выезд авто'!AH190</f>
        <v>1.0499999999999999E-2</v>
      </c>
      <c r="N602" s="638">
        <f>'19 работа техники'!AD533+'20 въезд-выезд авто'!AG429</f>
        <v>6.5000000000000006E-3</v>
      </c>
      <c r="O602" s="638">
        <f>'19 работа техники'!AE533+'20 въезд-выезд авто'!AH429</f>
        <v>4.1600000000000005E-2</v>
      </c>
    </row>
    <row r="603" spans="2:15" x14ac:dyDescent="0.25">
      <c r="B603" s="999"/>
      <c r="C603" s="528"/>
      <c r="D603" s="633" t="str">
        <f>'19 работа техники'!AB534</f>
        <v>Серы диоксид</v>
      </c>
      <c r="E603" s="702" t="str">
        <f>'19 работа техники'!AC534</f>
        <v>0330</v>
      </c>
      <c r="F603" s="638"/>
      <c r="G603" s="638"/>
      <c r="H603" s="638"/>
      <c r="I603" s="638"/>
      <c r="J603" s="638"/>
      <c r="K603" s="638"/>
      <c r="L603" s="638">
        <f>'19 работа техники'!AD243+'20 въезд-выезд авто'!AG191</f>
        <v>4.1999999999999997E-3</v>
      </c>
      <c r="M603" s="638">
        <f>'19 работа техники'!AE243+'20 въезд-выезд авто'!AH191</f>
        <v>7.5100000000000002E-3</v>
      </c>
      <c r="N603" s="638">
        <f>'19 работа техники'!AD534+'20 въезд-выезд авто'!AG430</f>
        <v>4.1999999999999997E-3</v>
      </c>
      <c r="O603" s="638">
        <f>'19 работа техники'!AE534+'20 въезд-выезд авто'!AH430</f>
        <v>2.7790000000000002E-2</v>
      </c>
    </row>
    <row r="604" spans="2:15" x14ac:dyDescent="0.25">
      <c r="B604" s="999"/>
      <c r="C604" s="528"/>
      <c r="D604" s="633" t="str">
        <f>'19 работа техники'!AB535</f>
        <v>Керосин</v>
      </c>
      <c r="E604" s="702" t="str">
        <f>'19 работа техники'!AC535</f>
        <v>2732</v>
      </c>
      <c r="F604" s="638"/>
      <c r="G604" s="638"/>
      <c r="H604" s="638"/>
      <c r="I604" s="638"/>
      <c r="J604" s="638"/>
      <c r="K604" s="638"/>
      <c r="L604" s="638">
        <f>'19 работа техники'!AD244+'20 въезд-выезд авто'!AG192</f>
        <v>1.4100000000000001E-2</v>
      </c>
      <c r="M604" s="638">
        <f>'19 работа техники'!AE244+'20 въезд-выезд авто'!AH192</f>
        <v>1.8200000000000001E-2</v>
      </c>
      <c r="N604" s="638">
        <f>'19 работа техники'!AD535+'20 въезд-выезд авто'!AG431</f>
        <v>1.4100000000000001E-2</v>
      </c>
      <c r="O604" s="638">
        <f>'19 работа техники'!AE535+'20 въезд-выезд авто'!AH431</f>
        <v>6.6099999999999992E-2</v>
      </c>
    </row>
    <row r="605" spans="2:15" x14ac:dyDescent="0.25">
      <c r="B605" s="999"/>
      <c r="C605" s="528"/>
      <c r="D605" s="633" t="str">
        <f>'19 работа техники'!AB536</f>
        <v xml:space="preserve">Углерод </v>
      </c>
      <c r="E605" s="702" t="str">
        <f>'19 работа техники'!AC536</f>
        <v>0328</v>
      </c>
      <c r="F605" s="638"/>
      <c r="G605" s="638"/>
      <c r="H605" s="638"/>
      <c r="I605" s="638"/>
      <c r="J605" s="638"/>
      <c r="K605" s="638"/>
      <c r="L605" s="638">
        <f>'19 работа техники'!AD245+'20 въезд-выезд авто'!AG194</f>
        <v>6.6E-3</v>
      </c>
      <c r="M605" s="638">
        <f>'19 работа техники'!AE245+'20 въезд-выезд авто'!AH194</f>
        <v>1.2529999999999999E-2</v>
      </c>
      <c r="N605" s="638">
        <f>'19 работа техники'!AD536+'20 въезд-выезд авто'!AG433</f>
        <v>6.6E-3</v>
      </c>
      <c r="O605" s="638">
        <f>'19 работа техники'!AE536+'20 въезд-выезд авто'!AH433</f>
        <v>4.2430000000000002E-2</v>
      </c>
    </row>
    <row r="606" spans="2:15" x14ac:dyDescent="0.25">
      <c r="B606" s="999"/>
      <c r="C606" s="529"/>
      <c r="D606" s="640" t="str">
        <f>'19 работа техники'!AB537</f>
        <v>Углерода оксид</v>
      </c>
      <c r="E606" s="703" t="str">
        <f>'19 работа техники'!AC537</f>
        <v>0337</v>
      </c>
      <c r="F606" s="645"/>
      <c r="G606" s="645"/>
      <c r="H606" s="645"/>
      <c r="I606" s="645"/>
      <c r="J606" s="645"/>
      <c r="K606" s="645"/>
      <c r="L606" s="645">
        <f>'19 работа техники'!AD246+'20 въезд-выезд авто'!AG193</f>
        <v>7.5600000000000001E-2</v>
      </c>
      <c r="M606" s="645">
        <f>'19 работа техники'!AE246+'20 въезд-выезд авто'!AH193</f>
        <v>7.0699999999999999E-2</v>
      </c>
      <c r="N606" s="645">
        <f>'19 работа техники'!AD537+'20 въезд-выезд авто'!AG432</f>
        <v>7.5600000000000001E-2</v>
      </c>
      <c r="O606" s="645">
        <f>'19 работа техники'!AE537+'20 въезд-выезд авто'!AH432</f>
        <v>0.24759999999999999</v>
      </c>
    </row>
    <row r="607" spans="2:15" ht="16.5" customHeight="1" x14ac:dyDescent="0.25">
      <c r="B607" s="998" t="s">
        <v>692</v>
      </c>
      <c r="C607" s="525" t="s">
        <v>541</v>
      </c>
      <c r="D607" s="626" t="str">
        <f>'19 работа техники'!AB539</f>
        <v>Азота диоксид</v>
      </c>
      <c r="E607" s="701" t="str">
        <f>'19 работа техники'!AC539</f>
        <v>0301</v>
      </c>
      <c r="F607" s="631"/>
      <c r="G607" s="631"/>
      <c r="H607" s="631"/>
      <c r="I607" s="631"/>
      <c r="J607" s="631"/>
      <c r="K607" s="631"/>
      <c r="L607" s="631">
        <f>'19 работа техники'!AD248+'20 въезд-выезд авто'!AG196</f>
        <v>0.04</v>
      </c>
      <c r="M607" s="631">
        <f>'19 работа техники'!AE248+'20 въезд-выезд авто'!AH196</f>
        <v>6.4199999999999993E-2</v>
      </c>
      <c r="N607" s="631">
        <f>'19 работа техники'!AD539+'20 въезд-выезд авто'!AG435</f>
        <v>0.04</v>
      </c>
      <c r="O607" s="631">
        <f>'19 работа техники'!AE539+'20 въезд-выезд авто'!AH435</f>
        <v>0.25650000000000001</v>
      </c>
    </row>
    <row r="608" spans="2:15" x14ac:dyDescent="0.25">
      <c r="B608" s="999"/>
      <c r="C608" s="528" t="s">
        <v>1204</v>
      </c>
      <c r="D608" s="633" t="str">
        <f>'19 работа техники'!AB540</f>
        <v>Азота оксид</v>
      </c>
      <c r="E608" s="702" t="str">
        <f>'19 работа техники'!AC540</f>
        <v>0304</v>
      </c>
      <c r="F608" s="638"/>
      <c r="G608" s="638"/>
      <c r="H608" s="638"/>
      <c r="I608" s="638"/>
      <c r="J608" s="638"/>
      <c r="K608" s="638"/>
      <c r="L608" s="638">
        <f>'19 работа техники'!AD249+'20 въезд-выезд авто'!AG197</f>
        <v>6.5000000000000006E-3</v>
      </c>
      <c r="M608" s="638">
        <f>'19 работа техники'!AE249+'20 въезд-выезд авто'!AH197</f>
        <v>1.0499999999999999E-2</v>
      </c>
      <c r="N608" s="638">
        <f>'19 работа техники'!AD540+'20 въезд-выезд авто'!AG436</f>
        <v>6.5000000000000006E-3</v>
      </c>
      <c r="O608" s="638">
        <f>'19 работа техники'!AE540+'20 въезд-выезд авто'!AH436</f>
        <v>4.1600000000000005E-2</v>
      </c>
    </row>
    <row r="609" spans="2:15" x14ac:dyDescent="0.25">
      <c r="B609" s="999"/>
      <c r="C609" s="528"/>
      <c r="D609" s="633" t="str">
        <f>'19 работа техники'!AB541</f>
        <v>Серы диоксид</v>
      </c>
      <c r="E609" s="702" t="str">
        <f>'19 работа техники'!AC541</f>
        <v>0330</v>
      </c>
      <c r="F609" s="638"/>
      <c r="G609" s="638"/>
      <c r="H609" s="638"/>
      <c r="I609" s="638"/>
      <c r="J609" s="638"/>
      <c r="K609" s="638"/>
      <c r="L609" s="638">
        <f>'19 работа техники'!AD250+'20 въезд-выезд авто'!AG198</f>
        <v>4.1999999999999997E-3</v>
      </c>
      <c r="M609" s="638">
        <f>'19 работа техники'!AE250+'20 въезд-выезд авто'!AH198</f>
        <v>7.5100000000000002E-3</v>
      </c>
      <c r="N609" s="638">
        <f>'19 работа техники'!AD541+'20 въезд-выезд авто'!AG437</f>
        <v>4.1999999999999997E-3</v>
      </c>
      <c r="O609" s="638">
        <f>'19 работа техники'!AE541+'20 въезд-выезд авто'!AH437</f>
        <v>2.7790000000000002E-2</v>
      </c>
    </row>
    <row r="610" spans="2:15" x14ac:dyDescent="0.25">
      <c r="B610" s="999"/>
      <c r="C610" s="528"/>
      <c r="D610" s="633" t="str">
        <f>'19 работа техники'!AB542</f>
        <v>Керосин</v>
      </c>
      <c r="E610" s="702" t="str">
        <f>'19 работа техники'!AC542</f>
        <v>2732</v>
      </c>
      <c r="F610" s="638"/>
      <c r="G610" s="638"/>
      <c r="H610" s="638"/>
      <c r="I610" s="638"/>
      <c r="J610" s="638"/>
      <c r="K610" s="638"/>
      <c r="L610" s="638">
        <f>'19 работа техники'!AD251+'20 въезд-выезд авто'!AG199</f>
        <v>1.4100000000000001E-2</v>
      </c>
      <c r="M610" s="638">
        <f>'19 работа техники'!AE251+'20 въезд-выезд авто'!AH199</f>
        <v>1.8200000000000001E-2</v>
      </c>
      <c r="N610" s="638">
        <f>'19 работа техники'!AD542+'20 въезд-выезд авто'!AG438</f>
        <v>1.4100000000000001E-2</v>
      </c>
      <c r="O610" s="638">
        <f>'19 работа техники'!AE542+'20 въезд-выезд авто'!AH438</f>
        <v>6.6099999999999992E-2</v>
      </c>
    </row>
    <row r="611" spans="2:15" x14ac:dyDescent="0.25">
      <c r="B611" s="999"/>
      <c r="C611" s="528"/>
      <c r="D611" s="633" t="str">
        <f>'19 работа техники'!AB543</f>
        <v xml:space="preserve">Углерод </v>
      </c>
      <c r="E611" s="702" t="str">
        <f>'19 работа техники'!AC543</f>
        <v>0328</v>
      </c>
      <c r="F611" s="638"/>
      <c r="G611" s="638"/>
      <c r="H611" s="638"/>
      <c r="I611" s="638"/>
      <c r="J611" s="638"/>
      <c r="K611" s="638"/>
      <c r="L611" s="638">
        <f>'19 работа техники'!AD252+'20 въезд-выезд авто'!AG201</f>
        <v>6.6E-3</v>
      </c>
      <c r="M611" s="638">
        <f>'19 работа техники'!AE252+'20 въезд-выезд авто'!AH201</f>
        <v>1.2529999999999999E-2</v>
      </c>
      <c r="N611" s="638">
        <f>'19 работа техники'!AD543+'20 въезд-выезд авто'!AG440</f>
        <v>6.6E-3</v>
      </c>
      <c r="O611" s="638">
        <f>'19 работа техники'!AE543+'20 въезд-выезд авто'!AH440</f>
        <v>4.2430000000000002E-2</v>
      </c>
    </row>
    <row r="612" spans="2:15" x14ac:dyDescent="0.25">
      <c r="B612" s="999"/>
      <c r="C612" s="529"/>
      <c r="D612" s="640" t="str">
        <f>'19 работа техники'!AB544</f>
        <v>Углерода оксид</v>
      </c>
      <c r="E612" s="703" t="str">
        <f>'19 работа техники'!AC544</f>
        <v>0337</v>
      </c>
      <c r="F612" s="645"/>
      <c r="G612" s="645"/>
      <c r="H612" s="645"/>
      <c r="I612" s="645"/>
      <c r="J612" s="645"/>
      <c r="K612" s="645"/>
      <c r="L612" s="645">
        <f>'19 работа техники'!AD253+'20 въезд-выезд авто'!AG200</f>
        <v>7.5600000000000001E-2</v>
      </c>
      <c r="M612" s="645">
        <f>'19 работа техники'!AE253+'20 въезд-выезд авто'!AH200</f>
        <v>7.0699999999999999E-2</v>
      </c>
      <c r="N612" s="645">
        <f>'19 работа техники'!AD544+'20 въезд-выезд авто'!AG439</f>
        <v>7.5600000000000001E-2</v>
      </c>
      <c r="O612" s="645">
        <f>'19 работа техники'!AE544+'20 въезд-выезд авто'!AH439</f>
        <v>0.24759999999999999</v>
      </c>
    </row>
    <row r="613" spans="2:15" ht="16.5" customHeight="1" x14ac:dyDescent="0.25">
      <c r="B613" s="998" t="s">
        <v>694</v>
      </c>
      <c r="C613" s="525" t="s">
        <v>542</v>
      </c>
      <c r="D613" s="626" t="str">
        <f>'19 работа техники'!AB546</f>
        <v>Азота диоксид</v>
      </c>
      <c r="E613" s="701" t="str">
        <f>'19 работа техники'!AC546</f>
        <v>0301</v>
      </c>
      <c r="F613" s="631"/>
      <c r="G613" s="631"/>
      <c r="H613" s="631"/>
      <c r="I613" s="631"/>
      <c r="J613" s="631"/>
      <c r="K613" s="631"/>
      <c r="L613" s="631">
        <f>'19 работа техники'!AD255+'20 въезд-выезд авто'!AG203</f>
        <v>0.04</v>
      </c>
      <c r="M613" s="631">
        <f>'19 работа техники'!AE255+'20 въезд-выезд авто'!AH203</f>
        <v>6.4199999999999993E-2</v>
      </c>
      <c r="N613" s="631">
        <f>'19 работа техники'!AD546+'20 въезд-выезд авто'!AG442</f>
        <v>0.04</v>
      </c>
      <c r="O613" s="631">
        <f>'19 работа техники'!AE546+'20 въезд-выезд авто'!AH442</f>
        <v>0.25650000000000001</v>
      </c>
    </row>
    <row r="614" spans="2:15" x14ac:dyDescent="0.25">
      <c r="B614" s="999"/>
      <c r="C614" s="528" t="s">
        <v>1204</v>
      </c>
      <c r="D614" s="633" t="str">
        <f>'19 работа техники'!AB547</f>
        <v>Азота оксид</v>
      </c>
      <c r="E614" s="702" t="str">
        <f>'19 работа техники'!AC547</f>
        <v>0304</v>
      </c>
      <c r="F614" s="638"/>
      <c r="G614" s="638"/>
      <c r="H614" s="638"/>
      <c r="I614" s="638"/>
      <c r="J614" s="638"/>
      <c r="K614" s="638"/>
      <c r="L614" s="638">
        <f>'19 работа техники'!AD256+'20 въезд-выезд авто'!AG204</f>
        <v>6.5000000000000006E-3</v>
      </c>
      <c r="M614" s="638">
        <f>'19 работа техники'!AE256+'20 въезд-выезд авто'!AH204</f>
        <v>1.0499999999999999E-2</v>
      </c>
      <c r="N614" s="638">
        <f>'19 работа техники'!AD547+'20 въезд-выезд авто'!AG443</f>
        <v>6.5000000000000006E-3</v>
      </c>
      <c r="O614" s="638">
        <f>'19 работа техники'!AE547+'20 въезд-выезд авто'!AH443</f>
        <v>4.1600000000000005E-2</v>
      </c>
    </row>
    <row r="615" spans="2:15" x14ac:dyDescent="0.25">
      <c r="B615" s="999"/>
      <c r="C615" s="528"/>
      <c r="D615" s="633" t="str">
        <f>'19 работа техники'!AB548</f>
        <v>Серы диоксид</v>
      </c>
      <c r="E615" s="702" t="str">
        <f>'19 работа техники'!AC548</f>
        <v>0330</v>
      </c>
      <c r="F615" s="638"/>
      <c r="G615" s="638"/>
      <c r="H615" s="638"/>
      <c r="I615" s="638"/>
      <c r="J615" s="638"/>
      <c r="K615" s="638"/>
      <c r="L615" s="638">
        <f>'19 работа техники'!AD257+'20 въезд-выезд авто'!AG205</f>
        <v>4.1999999999999997E-3</v>
      </c>
      <c r="M615" s="638">
        <f>'19 работа техники'!AE257+'20 въезд-выезд авто'!AH205</f>
        <v>7.5100000000000002E-3</v>
      </c>
      <c r="N615" s="638">
        <f>'19 работа техники'!AD548+'20 въезд-выезд авто'!AG444</f>
        <v>4.1999999999999997E-3</v>
      </c>
      <c r="O615" s="638">
        <f>'19 работа техники'!AE548+'20 въезд-выезд авто'!AH444</f>
        <v>2.7790000000000002E-2</v>
      </c>
    </row>
    <row r="616" spans="2:15" x14ac:dyDescent="0.25">
      <c r="B616" s="999"/>
      <c r="C616" s="528"/>
      <c r="D616" s="633" t="str">
        <f>'19 работа техники'!AB549</f>
        <v>Керосин</v>
      </c>
      <c r="E616" s="702" t="str">
        <f>'19 работа техники'!AC549</f>
        <v>2732</v>
      </c>
      <c r="F616" s="638"/>
      <c r="G616" s="638"/>
      <c r="H616" s="638"/>
      <c r="I616" s="638"/>
      <c r="J616" s="638"/>
      <c r="K616" s="638"/>
      <c r="L616" s="638">
        <f>'19 работа техники'!AD258+'20 въезд-выезд авто'!AG206</f>
        <v>1.4100000000000001E-2</v>
      </c>
      <c r="M616" s="638">
        <f>'19 работа техники'!AE258+'20 въезд-выезд авто'!AH206</f>
        <v>1.8200000000000001E-2</v>
      </c>
      <c r="N616" s="638">
        <f>'19 работа техники'!AD549+'20 въезд-выезд авто'!AG445</f>
        <v>1.4100000000000001E-2</v>
      </c>
      <c r="O616" s="638">
        <f>'19 работа техники'!AE549+'20 въезд-выезд авто'!AH445</f>
        <v>6.6099999999999992E-2</v>
      </c>
    </row>
    <row r="617" spans="2:15" x14ac:dyDescent="0.25">
      <c r="B617" s="999"/>
      <c r="C617" s="528"/>
      <c r="D617" s="633" t="str">
        <f>'19 работа техники'!AB550</f>
        <v xml:space="preserve">Углерод </v>
      </c>
      <c r="E617" s="702" t="str">
        <f>'19 работа техники'!AC550</f>
        <v>0328</v>
      </c>
      <c r="F617" s="638"/>
      <c r="G617" s="638"/>
      <c r="H617" s="638"/>
      <c r="I617" s="638"/>
      <c r="J617" s="638"/>
      <c r="K617" s="638"/>
      <c r="L617" s="638">
        <f>'19 работа техники'!AD259+'20 въезд-выезд авто'!AG208</f>
        <v>6.6E-3</v>
      </c>
      <c r="M617" s="638">
        <f>'19 работа техники'!AE259+'20 въезд-выезд авто'!AH208</f>
        <v>1.2529999999999999E-2</v>
      </c>
      <c r="N617" s="638">
        <f>'19 работа техники'!AD550+'20 въезд-выезд авто'!AG447</f>
        <v>6.6E-3</v>
      </c>
      <c r="O617" s="638">
        <f>'19 работа техники'!AE550+'20 въезд-выезд авто'!AH447</f>
        <v>4.2430000000000002E-2</v>
      </c>
    </row>
    <row r="618" spans="2:15" x14ac:dyDescent="0.25">
      <c r="B618" s="999"/>
      <c r="C618" s="529"/>
      <c r="D618" s="640" t="str">
        <f>'19 работа техники'!AB551</f>
        <v>Углерода оксид</v>
      </c>
      <c r="E618" s="703" t="str">
        <f>'19 работа техники'!AC551</f>
        <v>0337</v>
      </c>
      <c r="F618" s="645"/>
      <c r="G618" s="645"/>
      <c r="H618" s="645"/>
      <c r="I618" s="645"/>
      <c r="J618" s="645"/>
      <c r="K618" s="645"/>
      <c r="L618" s="645">
        <f>'19 работа техники'!AD260+'20 въезд-выезд авто'!AG207</f>
        <v>7.5600000000000001E-2</v>
      </c>
      <c r="M618" s="645">
        <f>'19 работа техники'!AE260+'20 въезд-выезд авто'!AH207</f>
        <v>7.0699999999999999E-2</v>
      </c>
      <c r="N618" s="645">
        <f>'19 работа техники'!AD551+'20 въезд-выезд авто'!AG446</f>
        <v>7.5600000000000001E-2</v>
      </c>
      <c r="O618" s="645">
        <f>'19 работа техники'!AE551+'20 въезд-выезд авто'!AH446</f>
        <v>0.24759999999999999</v>
      </c>
    </row>
    <row r="619" spans="2:15" ht="16.5" customHeight="1" x14ac:dyDescent="0.25">
      <c r="B619" s="998" t="s">
        <v>696</v>
      </c>
      <c r="C619" s="525" t="s">
        <v>544</v>
      </c>
      <c r="D619" s="626" t="str">
        <f>'19 работа техники'!AB553</f>
        <v>Азота диоксид</v>
      </c>
      <c r="E619" s="701" t="str">
        <f>'19 работа техники'!AC553</f>
        <v>0301</v>
      </c>
      <c r="F619" s="631"/>
      <c r="G619" s="631"/>
      <c r="H619" s="631"/>
      <c r="I619" s="631"/>
      <c r="J619" s="631"/>
      <c r="K619" s="631"/>
      <c r="L619" s="631">
        <f>'19 работа техники'!AD262+'20 въезд-выезд авто'!AG210</f>
        <v>0.04</v>
      </c>
      <c r="M619" s="631">
        <f>'19 работа техники'!AE262+'20 въезд-выезд авто'!AH210</f>
        <v>6.4199999999999993E-2</v>
      </c>
      <c r="N619" s="631">
        <f>'19 работа техники'!AD553+'20 въезд-выезд авто'!AG449</f>
        <v>0.04</v>
      </c>
      <c r="O619" s="631">
        <f>'19 работа техники'!AE553+'20 въезд-выезд авто'!AH449</f>
        <v>0.25650000000000001</v>
      </c>
    </row>
    <row r="620" spans="2:15" x14ac:dyDescent="0.25">
      <c r="B620" s="999"/>
      <c r="C620" s="528" t="s">
        <v>1204</v>
      </c>
      <c r="D620" s="633" t="str">
        <f>'19 работа техники'!AB554</f>
        <v>Азота оксид</v>
      </c>
      <c r="E620" s="702" t="str">
        <f>'19 работа техники'!AC554</f>
        <v>0304</v>
      </c>
      <c r="F620" s="638"/>
      <c r="G620" s="638"/>
      <c r="H620" s="638"/>
      <c r="I620" s="638"/>
      <c r="J620" s="638"/>
      <c r="K620" s="638"/>
      <c r="L620" s="638">
        <f>'19 работа техники'!AD263+'20 въезд-выезд авто'!AG211</f>
        <v>6.5000000000000006E-3</v>
      </c>
      <c r="M620" s="638">
        <f>'19 работа техники'!AE263+'20 въезд-выезд авто'!AH211</f>
        <v>1.0499999999999999E-2</v>
      </c>
      <c r="N620" s="638">
        <f>'19 работа техники'!AD554+'20 въезд-выезд авто'!AG450</f>
        <v>6.5000000000000006E-3</v>
      </c>
      <c r="O620" s="638">
        <f>'19 работа техники'!AE554+'20 въезд-выезд авто'!AH450</f>
        <v>4.1600000000000005E-2</v>
      </c>
    </row>
    <row r="621" spans="2:15" x14ac:dyDescent="0.25">
      <c r="B621" s="999"/>
      <c r="C621" s="528"/>
      <c r="D621" s="633" t="str">
        <f>'19 работа техники'!AB555</f>
        <v>Серы диоксид</v>
      </c>
      <c r="E621" s="702" t="str">
        <f>'19 работа техники'!AC555</f>
        <v>0330</v>
      </c>
      <c r="F621" s="638"/>
      <c r="G621" s="638"/>
      <c r="H621" s="638"/>
      <c r="I621" s="638"/>
      <c r="J621" s="638"/>
      <c r="K621" s="638"/>
      <c r="L621" s="638">
        <f>'19 работа техники'!AD264+'20 въезд-выезд авто'!AG212</f>
        <v>4.1999999999999997E-3</v>
      </c>
      <c r="M621" s="638">
        <f>'19 работа техники'!AE264+'20 въезд-выезд авто'!AH212</f>
        <v>7.5100000000000002E-3</v>
      </c>
      <c r="N621" s="638">
        <f>'19 работа техники'!AD555+'20 въезд-выезд авто'!AG451</f>
        <v>4.1999999999999997E-3</v>
      </c>
      <c r="O621" s="638">
        <f>'19 работа техники'!AE555+'20 въезд-выезд авто'!AH451</f>
        <v>2.7790000000000002E-2</v>
      </c>
    </row>
    <row r="622" spans="2:15" x14ac:dyDescent="0.25">
      <c r="B622" s="999"/>
      <c r="C622" s="528"/>
      <c r="D622" s="633" t="str">
        <f>'19 работа техники'!AB556</f>
        <v>Керосин</v>
      </c>
      <c r="E622" s="702" t="str">
        <f>'19 работа техники'!AC556</f>
        <v>2732</v>
      </c>
      <c r="F622" s="638"/>
      <c r="G622" s="638"/>
      <c r="H622" s="638"/>
      <c r="I622" s="638"/>
      <c r="J622" s="638"/>
      <c r="K622" s="638"/>
      <c r="L622" s="638">
        <f>'19 работа техники'!AD265+'20 въезд-выезд авто'!AG213</f>
        <v>1.4100000000000001E-2</v>
      </c>
      <c r="M622" s="638">
        <f>'19 работа техники'!AE265+'20 въезд-выезд авто'!AH213</f>
        <v>1.8200000000000001E-2</v>
      </c>
      <c r="N622" s="638">
        <f>'19 работа техники'!AD556+'20 въезд-выезд авто'!AG452</f>
        <v>1.4100000000000001E-2</v>
      </c>
      <c r="O622" s="638">
        <f>'19 работа техники'!AE556+'20 въезд-выезд авто'!AH452</f>
        <v>6.6099999999999992E-2</v>
      </c>
    </row>
    <row r="623" spans="2:15" x14ac:dyDescent="0.25">
      <c r="B623" s="999"/>
      <c r="C623" s="528"/>
      <c r="D623" s="633" t="str">
        <f>'19 работа техники'!AB557</f>
        <v xml:space="preserve">Углерод </v>
      </c>
      <c r="E623" s="702" t="str">
        <f>'19 работа техники'!AC557</f>
        <v>0328</v>
      </c>
      <c r="F623" s="638"/>
      <c r="G623" s="638"/>
      <c r="H623" s="638"/>
      <c r="I623" s="638"/>
      <c r="J623" s="638"/>
      <c r="K623" s="638"/>
      <c r="L623" s="638">
        <f>'19 работа техники'!AD266+'20 въезд-выезд авто'!AG215</f>
        <v>6.6E-3</v>
      </c>
      <c r="M623" s="638">
        <f>'19 работа техники'!AE266+'20 въезд-выезд авто'!AH215</f>
        <v>1.2529999999999999E-2</v>
      </c>
      <c r="N623" s="638">
        <f>'19 работа техники'!AD557+'20 въезд-выезд авто'!AG454</f>
        <v>6.6E-3</v>
      </c>
      <c r="O623" s="638">
        <f>'19 работа техники'!AE557+'20 въезд-выезд авто'!AH454</f>
        <v>4.2430000000000002E-2</v>
      </c>
    </row>
    <row r="624" spans="2:15" x14ac:dyDescent="0.25">
      <c r="B624" s="999"/>
      <c r="C624" s="529"/>
      <c r="D624" s="640" t="str">
        <f>'19 работа техники'!AB558</f>
        <v>Углерода оксид</v>
      </c>
      <c r="E624" s="703" t="str">
        <f>'19 работа техники'!AC558</f>
        <v>0337</v>
      </c>
      <c r="F624" s="645"/>
      <c r="G624" s="645"/>
      <c r="H624" s="645"/>
      <c r="I624" s="645"/>
      <c r="J624" s="645"/>
      <c r="K624" s="645"/>
      <c r="L624" s="645">
        <f>'19 работа техники'!AD267+'20 въезд-выезд авто'!AG214</f>
        <v>7.5600000000000001E-2</v>
      </c>
      <c r="M624" s="645">
        <f>'19 работа техники'!AE267+'20 въезд-выезд авто'!AH214</f>
        <v>7.0699999999999999E-2</v>
      </c>
      <c r="N624" s="645">
        <f>'19 работа техники'!AD558+'20 въезд-выезд авто'!AG453</f>
        <v>7.5600000000000001E-2</v>
      </c>
      <c r="O624" s="645">
        <f>'19 работа техники'!AE558+'20 въезд-выезд авто'!AH453</f>
        <v>0.24759999999999999</v>
      </c>
    </row>
    <row r="625" spans="2:15" ht="16.5" customHeight="1" x14ac:dyDescent="0.25">
      <c r="B625" s="998" t="s">
        <v>697</v>
      </c>
      <c r="C625" s="525" t="s">
        <v>553</v>
      </c>
      <c r="D625" s="626" t="str">
        <f>'20 въезд-выезд авто'!AE456</f>
        <v>Азота диоксид</v>
      </c>
      <c r="E625" s="701" t="str">
        <f>'20 въезд-выезд авто'!AF456</f>
        <v>0301</v>
      </c>
      <c r="F625" s="631"/>
      <c r="G625" s="631"/>
      <c r="H625" s="631"/>
      <c r="I625" s="631"/>
      <c r="J625" s="631"/>
      <c r="K625" s="631"/>
      <c r="L625" s="638">
        <f>'20 въезд-выезд авто'!AG217</f>
        <v>9.1000000000000004E-3</v>
      </c>
      <c r="M625" s="638">
        <f>'20 въезд-выезд авто'!AH217</f>
        <v>2.3E-3</v>
      </c>
      <c r="N625" s="638">
        <f>'20 въезд-выезд авто'!AG456</f>
        <v>9.1000000000000004E-3</v>
      </c>
      <c r="O625" s="638">
        <f>'20 въезд-выезд авто'!AH456</f>
        <v>5.1000000000000004E-3</v>
      </c>
    </row>
    <row r="626" spans="2:15" x14ac:dyDescent="0.25">
      <c r="B626" s="999"/>
      <c r="C626" s="528" t="s">
        <v>492</v>
      </c>
      <c r="D626" s="633" t="str">
        <f>'20 въезд-выезд авто'!AE457</f>
        <v>Азота оксид</v>
      </c>
      <c r="E626" s="702" t="str">
        <f>'20 въезд-выезд авто'!AF457</f>
        <v>0304</v>
      </c>
      <c r="F626" s="638"/>
      <c r="G626" s="638"/>
      <c r="H626" s="638"/>
      <c r="I626" s="638"/>
      <c r="J626" s="638"/>
      <c r="K626" s="638"/>
      <c r="L626" s="638">
        <f>'20 въезд-выезд авто'!AG218</f>
        <v>1.5E-3</v>
      </c>
      <c r="M626" s="638">
        <f>'20 въезд-выезд авто'!AH218</f>
        <v>4.0000000000000002E-4</v>
      </c>
      <c r="N626" s="638">
        <f>'20 въезд-выезд авто'!AG457</f>
        <v>1.5E-3</v>
      </c>
      <c r="O626" s="638">
        <f>'20 въезд-выезд авто'!AH457</f>
        <v>8.0000000000000004E-4</v>
      </c>
    </row>
    <row r="627" spans="2:15" x14ac:dyDescent="0.25">
      <c r="B627" s="999"/>
      <c r="C627" s="528"/>
      <c r="D627" s="633" t="str">
        <f>'20 въезд-выезд авто'!AE458</f>
        <v>Серы диоксид</v>
      </c>
      <c r="E627" s="702" t="str">
        <f>'20 въезд-выезд авто'!AF458</f>
        <v>0330</v>
      </c>
      <c r="F627" s="638"/>
      <c r="G627" s="638"/>
      <c r="H627" s="638"/>
      <c r="I627" s="638"/>
      <c r="J627" s="638"/>
      <c r="K627" s="638"/>
      <c r="L627" s="638">
        <f>'20 въезд-выезд авто'!AG219</f>
        <v>8.0000000000000004E-4</v>
      </c>
      <c r="M627" s="638">
        <f>'20 въезд-выезд авто'!AH219</f>
        <v>2.1000000000000001E-4</v>
      </c>
      <c r="N627" s="638">
        <f>'20 въезд-выезд авто'!AG458</f>
        <v>8.0000000000000004E-4</v>
      </c>
      <c r="O627" s="638">
        <f>'20 въезд-выезд авто'!AH458</f>
        <v>4.8999999999999998E-4</v>
      </c>
    </row>
    <row r="628" spans="2:15" x14ac:dyDescent="0.25">
      <c r="B628" s="999"/>
      <c r="C628" s="528"/>
      <c r="D628" s="633" t="str">
        <f>'20 въезд-выезд авто'!AE459</f>
        <v>Керосин</v>
      </c>
      <c r="E628" s="702" t="str">
        <f>'20 въезд-выезд авто'!AF459</f>
        <v>2732</v>
      </c>
      <c r="F628" s="638"/>
      <c r="G628" s="638"/>
      <c r="H628" s="638"/>
      <c r="I628" s="638"/>
      <c r="J628" s="638"/>
      <c r="K628" s="638"/>
      <c r="L628" s="638">
        <f>'20 въезд-выезд авто'!AG220</f>
        <v>6.1999999999999998E-3</v>
      </c>
      <c r="M628" s="638">
        <f>'20 въезд-выезд авто'!AH220</f>
        <v>1.6000000000000001E-3</v>
      </c>
      <c r="N628" s="638">
        <f>'20 въезд-выезд авто'!AG459</f>
        <v>6.1999999999999998E-3</v>
      </c>
      <c r="O628" s="638">
        <f>'20 въезд-выезд авто'!AH459</f>
        <v>3.3E-3</v>
      </c>
    </row>
    <row r="629" spans="2:15" x14ac:dyDescent="0.25">
      <c r="B629" s="999"/>
      <c r="C629" s="528"/>
      <c r="D629" s="633" t="str">
        <f>'20 въезд-выезд авто'!AE460</f>
        <v>Углерода оксид</v>
      </c>
      <c r="E629" s="702" t="str">
        <f>'20 въезд-выезд авто'!AF460</f>
        <v>0337</v>
      </c>
      <c r="F629" s="638"/>
      <c r="G629" s="638"/>
      <c r="H629" s="638"/>
      <c r="I629" s="638"/>
      <c r="J629" s="638"/>
      <c r="K629" s="638"/>
      <c r="L629" s="638">
        <f>'20 въезд-выезд авто'!AG221</f>
        <v>4.6399999999999997E-2</v>
      </c>
      <c r="M629" s="638">
        <f>'20 въезд-выезд авто'!AH221</f>
        <v>1.17E-2</v>
      </c>
      <c r="N629" s="638">
        <f>'20 въезд-выезд авто'!AG460</f>
        <v>4.6399999999999997E-2</v>
      </c>
      <c r="O629" s="638">
        <f>'20 въезд-выезд авто'!AH460</f>
        <v>2.3800000000000002E-2</v>
      </c>
    </row>
    <row r="630" spans="2:15" x14ac:dyDescent="0.25">
      <c r="B630" s="999"/>
      <c r="C630" s="529"/>
      <c r="D630" s="640" t="str">
        <f>'20 въезд-выезд авто'!AE461</f>
        <v>Углерод</v>
      </c>
      <c r="E630" s="703" t="str">
        <f>'20 въезд-выезд авто'!AF461</f>
        <v>0328</v>
      </c>
      <c r="F630" s="645"/>
      <c r="G630" s="645"/>
      <c r="H630" s="645"/>
      <c r="I630" s="645"/>
      <c r="J630" s="645"/>
      <c r="K630" s="645"/>
      <c r="L630" s="645">
        <f>'20 въезд-выезд авто'!AG222</f>
        <v>8.9999999999999998E-4</v>
      </c>
      <c r="M630" s="645">
        <f>'20 въезд-выезд авто'!AH222</f>
        <v>2.3000000000000001E-4</v>
      </c>
      <c r="N630" s="645">
        <f>'20 въезд-выезд авто'!AG461</f>
        <v>8.9999999999999998E-4</v>
      </c>
      <c r="O630" s="645">
        <f>'20 въезд-выезд авто'!AH461</f>
        <v>4.2999999999999999E-4</v>
      </c>
    </row>
    <row r="631" spans="2:15" ht="16.5" customHeight="1" x14ac:dyDescent="0.25">
      <c r="B631" s="998" t="s">
        <v>698</v>
      </c>
      <c r="C631" s="525" t="s">
        <v>557</v>
      </c>
      <c r="D631" s="626" t="str">
        <f>'19 работа техники'!AB560</f>
        <v>Азота диоксид</v>
      </c>
      <c r="E631" s="701" t="str">
        <f>'19 работа техники'!AC560</f>
        <v>0301</v>
      </c>
      <c r="F631" s="631"/>
      <c r="G631" s="631"/>
      <c r="H631" s="631"/>
      <c r="I631" s="631"/>
      <c r="J631" s="631"/>
      <c r="K631" s="631"/>
      <c r="L631" s="631">
        <f>'19 работа техники'!AD269+'20 въезд-выезд авто'!AG224</f>
        <v>0.04</v>
      </c>
      <c r="M631" s="631">
        <f>'19 работа техники'!AE269+'20 въезд-выезд авто'!AH224</f>
        <v>6.4199999999999993E-2</v>
      </c>
      <c r="N631" s="631">
        <f>'19 работа техники'!AD560+'20 въезд-выезд авто'!AG463</f>
        <v>0.04</v>
      </c>
      <c r="O631" s="631">
        <f>'19 работа техники'!AE560+'20 въезд-выезд авто'!AH463</f>
        <v>0.25650000000000001</v>
      </c>
    </row>
    <row r="632" spans="2:15" x14ac:dyDescent="0.25">
      <c r="B632" s="999"/>
      <c r="C632" s="528" t="s">
        <v>1204</v>
      </c>
      <c r="D632" s="633" t="str">
        <f>'19 работа техники'!AB561</f>
        <v>Азота оксид</v>
      </c>
      <c r="E632" s="702" t="str">
        <f>'19 работа техники'!AC561</f>
        <v>0304</v>
      </c>
      <c r="F632" s="638"/>
      <c r="G632" s="638"/>
      <c r="H632" s="638"/>
      <c r="I632" s="638"/>
      <c r="J632" s="638"/>
      <c r="K632" s="638"/>
      <c r="L632" s="638">
        <f>'19 работа техники'!AD270+'20 въезд-выезд авто'!AG225</f>
        <v>6.5000000000000006E-3</v>
      </c>
      <c r="M632" s="638">
        <f>'19 работа техники'!AE270+'20 въезд-выезд авто'!AH225</f>
        <v>1.0499999999999999E-2</v>
      </c>
      <c r="N632" s="638">
        <f>'19 работа техники'!AD561+'20 въезд-выезд авто'!AG464</f>
        <v>6.5000000000000006E-3</v>
      </c>
      <c r="O632" s="638">
        <f>'19 работа техники'!AE561+'20 въезд-выезд авто'!AH464</f>
        <v>4.1600000000000005E-2</v>
      </c>
    </row>
    <row r="633" spans="2:15" x14ac:dyDescent="0.25">
      <c r="B633" s="999"/>
      <c r="C633" s="528"/>
      <c r="D633" s="633" t="str">
        <f>'19 работа техники'!AB562</f>
        <v>Серы диоксид</v>
      </c>
      <c r="E633" s="702" t="str">
        <f>'19 работа техники'!AC562</f>
        <v>0330</v>
      </c>
      <c r="F633" s="638"/>
      <c r="G633" s="638"/>
      <c r="H633" s="638"/>
      <c r="I633" s="638"/>
      <c r="J633" s="638"/>
      <c r="K633" s="638"/>
      <c r="L633" s="638">
        <f>'19 работа техники'!AD271+'20 въезд-выезд авто'!AG226</f>
        <v>4.1999999999999997E-3</v>
      </c>
      <c r="M633" s="638">
        <f>'19 работа техники'!AE271+'20 въезд-выезд авто'!AH226</f>
        <v>7.5100000000000002E-3</v>
      </c>
      <c r="N633" s="638">
        <f>'19 работа техники'!AD562+'20 въезд-выезд авто'!AG465</f>
        <v>4.1999999999999997E-3</v>
      </c>
      <c r="O633" s="638">
        <f>'19 работа техники'!AE562+'20 въезд-выезд авто'!AH465</f>
        <v>2.7790000000000002E-2</v>
      </c>
    </row>
    <row r="634" spans="2:15" x14ac:dyDescent="0.25">
      <c r="B634" s="999"/>
      <c r="C634" s="528"/>
      <c r="D634" s="633" t="str">
        <f>'19 работа техники'!AB563</f>
        <v>Керосин</v>
      </c>
      <c r="E634" s="702" t="str">
        <f>'19 работа техники'!AC563</f>
        <v>2732</v>
      </c>
      <c r="F634" s="638"/>
      <c r="G634" s="638"/>
      <c r="H634" s="638"/>
      <c r="I634" s="638"/>
      <c r="J634" s="638"/>
      <c r="K634" s="638"/>
      <c r="L634" s="638">
        <f>'19 работа техники'!AD272+'20 въезд-выезд авто'!AG227</f>
        <v>1.4100000000000001E-2</v>
      </c>
      <c r="M634" s="638">
        <f>'19 работа техники'!AE272+'20 въезд-выезд авто'!AH227</f>
        <v>1.8200000000000001E-2</v>
      </c>
      <c r="N634" s="638">
        <f>'19 работа техники'!AD563+'20 въезд-выезд авто'!AG466</f>
        <v>1.4100000000000001E-2</v>
      </c>
      <c r="O634" s="638">
        <f>'19 работа техники'!AE563+'20 въезд-выезд авто'!AH466</f>
        <v>6.6099999999999992E-2</v>
      </c>
    </row>
    <row r="635" spans="2:15" x14ac:dyDescent="0.25">
      <c r="B635" s="999"/>
      <c r="C635" s="528"/>
      <c r="D635" s="633" t="str">
        <f>'19 работа техники'!AB564</f>
        <v xml:space="preserve">Углерод </v>
      </c>
      <c r="E635" s="702" t="str">
        <f>'19 работа техники'!AC564</f>
        <v>0328</v>
      </c>
      <c r="F635" s="638"/>
      <c r="G635" s="638"/>
      <c r="H635" s="638"/>
      <c r="I635" s="638"/>
      <c r="J635" s="638"/>
      <c r="K635" s="638"/>
      <c r="L635" s="638">
        <f>'19 работа техники'!AD273+'20 въезд-выезд авто'!AG229</f>
        <v>6.6E-3</v>
      </c>
      <c r="M635" s="638">
        <f>'19 работа техники'!AE273+'20 въезд-выезд авто'!AH229</f>
        <v>1.2529999999999999E-2</v>
      </c>
      <c r="N635" s="638">
        <f>'19 работа техники'!AD564+'20 въезд-выезд авто'!AG468</f>
        <v>6.6E-3</v>
      </c>
      <c r="O635" s="638">
        <f>'19 работа техники'!AE564+'20 въезд-выезд авто'!AH468</f>
        <v>4.2430000000000002E-2</v>
      </c>
    </row>
    <row r="636" spans="2:15" x14ac:dyDescent="0.25">
      <c r="B636" s="999"/>
      <c r="C636" s="529"/>
      <c r="D636" s="640" t="str">
        <f>'19 работа техники'!AB565</f>
        <v>Углерода оксид</v>
      </c>
      <c r="E636" s="703" t="str">
        <f>'19 работа техники'!AC565</f>
        <v>0337</v>
      </c>
      <c r="F636" s="645"/>
      <c r="G636" s="645"/>
      <c r="H636" s="645"/>
      <c r="I636" s="645"/>
      <c r="J636" s="645"/>
      <c r="K636" s="645"/>
      <c r="L636" s="645">
        <f>'19 работа техники'!AD274+'20 въезд-выезд авто'!AG228</f>
        <v>7.5600000000000001E-2</v>
      </c>
      <c r="M636" s="645">
        <f>'19 работа техники'!AE274+'20 въезд-выезд авто'!AH228</f>
        <v>7.0699999999999999E-2</v>
      </c>
      <c r="N636" s="645">
        <f>'19 работа техники'!AD565+'20 въезд-выезд авто'!AG467</f>
        <v>7.5600000000000001E-2</v>
      </c>
      <c r="O636" s="645">
        <f>'19 работа техники'!AE565+'20 въезд-выезд авто'!AH467</f>
        <v>0.24759999999999999</v>
      </c>
    </row>
    <row r="637" spans="2:15" ht="16.5" customHeight="1" x14ac:dyDescent="0.25">
      <c r="B637" s="1010" t="s">
        <v>699</v>
      </c>
      <c r="C637" s="525" t="s">
        <v>576</v>
      </c>
      <c r="D637" s="626" t="str">
        <f>'19 работа техники'!AB567</f>
        <v>Азота диоксид</v>
      </c>
      <c r="E637" s="701" t="str">
        <f>'19 работа техники'!AC567</f>
        <v>0301</v>
      </c>
      <c r="F637" s="631"/>
      <c r="G637" s="631"/>
      <c r="H637" s="631"/>
      <c r="I637" s="631"/>
      <c r="J637" s="631"/>
      <c r="K637" s="631"/>
      <c r="L637" s="631"/>
      <c r="M637" s="631"/>
      <c r="N637" s="631">
        <f>'19 работа техники'!AD567+'20 въезд-выезд авто'!AG470</f>
        <v>0.04</v>
      </c>
      <c r="O637" s="631">
        <f>'19 работа техники'!AE567+'20 въезд-выезд авто'!AH470</f>
        <v>0.12</v>
      </c>
    </row>
    <row r="638" spans="2:15" x14ac:dyDescent="0.25">
      <c r="B638" s="1011"/>
      <c r="C638" s="528" t="s">
        <v>1204</v>
      </c>
      <c r="D638" s="633" t="str">
        <f>'19 работа техники'!AB568</f>
        <v>Азота оксид</v>
      </c>
      <c r="E638" s="702" t="str">
        <f>'19 работа техники'!AC568</f>
        <v>0304</v>
      </c>
      <c r="F638" s="638"/>
      <c r="G638" s="638"/>
      <c r="H638" s="638"/>
      <c r="I638" s="638"/>
      <c r="J638" s="638"/>
      <c r="K638" s="638"/>
      <c r="L638" s="638"/>
      <c r="M638" s="638"/>
      <c r="N638" s="638">
        <f>'19 работа техники'!AD568+'20 въезд-выезд авто'!AG471</f>
        <v>6.5000000000000006E-3</v>
      </c>
      <c r="O638" s="638">
        <f>'19 работа техники'!AE568+'20 въезд-выезд авто'!AH471</f>
        <v>1.95E-2</v>
      </c>
    </row>
    <row r="639" spans="2:15" x14ac:dyDescent="0.25">
      <c r="B639" s="1011"/>
      <c r="C639" s="528"/>
      <c r="D639" s="633" t="str">
        <f>'19 работа техники'!AB569</f>
        <v>Серы диоксид</v>
      </c>
      <c r="E639" s="702" t="str">
        <f>'19 работа техники'!AC569</f>
        <v>0330</v>
      </c>
      <c r="F639" s="638"/>
      <c r="G639" s="638"/>
      <c r="H639" s="638"/>
      <c r="I639" s="638"/>
      <c r="J639" s="638"/>
      <c r="K639" s="638"/>
      <c r="L639" s="638"/>
      <c r="M639" s="638"/>
      <c r="N639" s="638">
        <f>'19 работа техники'!AD569+'20 въезд-выезд авто'!AG472</f>
        <v>4.1999999999999997E-3</v>
      </c>
      <c r="O639" s="638">
        <f>'19 работа техники'!AE569+'20 въезд-выезд авто'!AH472</f>
        <v>1.221E-2</v>
      </c>
    </row>
    <row r="640" spans="2:15" x14ac:dyDescent="0.25">
      <c r="B640" s="1011"/>
      <c r="C640" s="528"/>
      <c r="D640" s="633" t="str">
        <f>'19 работа техники'!AB570</f>
        <v>Керосин</v>
      </c>
      <c r="E640" s="702" t="str">
        <f>'19 работа техники'!AC570</f>
        <v>2732</v>
      </c>
      <c r="F640" s="638"/>
      <c r="G640" s="638"/>
      <c r="H640" s="638"/>
      <c r="I640" s="638"/>
      <c r="J640" s="638"/>
      <c r="K640" s="638"/>
      <c r="L640" s="638"/>
      <c r="M640" s="638"/>
      <c r="N640" s="638">
        <f>'19 работа техники'!AD570+'20 въезд-выезд авто'!AG473</f>
        <v>1.4100000000000001E-2</v>
      </c>
      <c r="O640" s="638">
        <f>'19 работа техники'!AE570+'20 въезд-выезд авто'!AH473</f>
        <v>2.86E-2</v>
      </c>
    </row>
    <row r="641" spans="2:15" x14ac:dyDescent="0.25">
      <c r="B641" s="1011"/>
      <c r="C641" s="528"/>
      <c r="D641" s="633" t="str">
        <f>'19 работа техники'!AB571</f>
        <v xml:space="preserve">Углерод </v>
      </c>
      <c r="E641" s="702" t="str">
        <f>'19 работа техники'!AC571</f>
        <v>0328</v>
      </c>
      <c r="F641" s="638"/>
      <c r="G641" s="638"/>
      <c r="H641" s="638"/>
      <c r="I641" s="638"/>
      <c r="J641" s="638"/>
      <c r="K641" s="638"/>
      <c r="L641" s="638"/>
      <c r="M641" s="638"/>
      <c r="N641" s="638">
        <f>'19 работа техники'!AD571+'20 въезд-выезд авто'!AG475</f>
        <v>6.6E-3</v>
      </c>
      <c r="O641" s="638">
        <f>'19 работа техники'!AE571+'20 въезд-выезд авто'!AH475</f>
        <v>1.644E-2</v>
      </c>
    </row>
    <row r="642" spans="2:15" x14ac:dyDescent="0.25">
      <c r="B642" s="1013"/>
      <c r="C642" s="529"/>
      <c r="D642" s="640" t="str">
        <f>'19 работа техники'!AB572</f>
        <v>Углерода оксид</v>
      </c>
      <c r="E642" s="703" t="str">
        <f>'19 работа техники'!AC572</f>
        <v>0337</v>
      </c>
      <c r="F642" s="645"/>
      <c r="G642" s="645"/>
      <c r="H642" s="645"/>
      <c r="I642" s="645"/>
      <c r="J642" s="645"/>
      <c r="K642" s="645"/>
      <c r="L642" s="645"/>
      <c r="M642" s="645"/>
      <c r="N642" s="645">
        <f>'19 работа техники'!AD572+'20 въезд-выезд авто'!AG474</f>
        <v>7.5600000000000001E-2</v>
      </c>
      <c r="O642" s="645">
        <f>'19 работа техники'!AE572+'20 въезд-выезд авто'!AH474</f>
        <v>0.1032</v>
      </c>
    </row>
    <row r="643" spans="2:15" ht="16.5" customHeight="1" x14ac:dyDescent="0.25">
      <c r="B643" s="1010" t="s">
        <v>700</v>
      </c>
      <c r="C643" s="525" t="s">
        <v>582</v>
      </c>
      <c r="D643" s="626" t="str">
        <f>'19 работа техники'!AB574</f>
        <v>Азота диоксид</v>
      </c>
      <c r="E643" s="701" t="str">
        <f>'19 работа техники'!AC574</f>
        <v>0301</v>
      </c>
      <c r="F643" s="631"/>
      <c r="G643" s="631"/>
      <c r="H643" s="631"/>
      <c r="I643" s="631"/>
      <c r="J643" s="631"/>
      <c r="K643" s="631"/>
      <c r="L643" s="631"/>
      <c r="M643" s="631"/>
      <c r="N643" s="631">
        <f>'19 работа техники'!AD574+'20 въезд-выезд авто'!AG477</f>
        <v>0.04</v>
      </c>
      <c r="O643" s="631">
        <f>'19 работа техники'!AE574+'20 въезд-выезд авто'!AH477</f>
        <v>0.12</v>
      </c>
    </row>
    <row r="644" spans="2:15" x14ac:dyDescent="0.25">
      <c r="B644" s="1011"/>
      <c r="C644" s="528" t="s">
        <v>1204</v>
      </c>
      <c r="D644" s="633" t="str">
        <f>'19 работа техники'!AB575</f>
        <v>Азота оксид</v>
      </c>
      <c r="E644" s="702" t="str">
        <f>'19 работа техники'!AC575</f>
        <v>0304</v>
      </c>
      <c r="F644" s="638"/>
      <c r="G644" s="638"/>
      <c r="H644" s="638"/>
      <c r="I644" s="638"/>
      <c r="J644" s="638"/>
      <c r="K644" s="638"/>
      <c r="L644" s="638"/>
      <c r="M644" s="638"/>
      <c r="N644" s="638">
        <f>'19 работа техники'!AD575+'20 въезд-выезд авто'!AG478</f>
        <v>6.5000000000000006E-3</v>
      </c>
      <c r="O644" s="638">
        <f>'19 работа техники'!AE575+'20 въезд-выезд авто'!AH478</f>
        <v>1.95E-2</v>
      </c>
    </row>
    <row r="645" spans="2:15" x14ac:dyDescent="0.25">
      <c r="B645" s="1011"/>
      <c r="C645" s="528"/>
      <c r="D645" s="633" t="str">
        <f>'19 работа техники'!AB576</f>
        <v>Серы диоксид</v>
      </c>
      <c r="E645" s="702" t="str">
        <f>'19 работа техники'!AC576</f>
        <v>0330</v>
      </c>
      <c r="F645" s="638"/>
      <c r="G645" s="638"/>
      <c r="H645" s="638"/>
      <c r="I645" s="638"/>
      <c r="J645" s="638"/>
      <c r="K645" s="638"/>
      <c r="L645" s="638"/>
      <c r="M645" s="638"/>
      <c r="N645" s="638">
        <f>'19 работа техники'!AD576+'20 въезд-выезд авто'!AG479</f>
        <v>4.1999999999999997E-3</v>
      </c>
      <c r="O645" s="638">
        <f>'19 работа техники'!AE576+'20 въезд-выезд авто'!AH479</f>
        <v>1.221E-2</v>
      </c>
    </row>
    <row r="646" spans="2:15" x14ac:dyDescent="0.25">
      <c r="B646" s="1011"/>
      <c r="C646" s="528"/>
      <c r="D646" s="633" t="str">
        <f>'19 работа техники'!AB577</f>
        <v>Керосин</v>
      </c>
      <c r="E646" s="702" t="str">
        <f>'19 работа техники'!AC577</f>
        <v>2732</v>
      </c>
      <c r="F646" s="638"/>
      <c r="G646" s="638"/>
      <c r="H646" s="638"/>
      <c r="I646" s="638"/>
      <c r="J646" s="638"/>
      <c r="K646" s="638"/>
      <c r="L646" s="638"/>
      <c r="M646" s="638"/>
      <c r="N646" s="638">
        <f>'19 работа техники'!AD577+'20 въезд-выезд авто'!AG480</f>
        <v>1.4100000000000001E-2</v>
      </c>
      <c r="O646" s="638">
        <f>'19 работа техники'!AE577+'20 въезд-выезд авто'!AH480</f>
        <v>2.86E-2</v>
      </c>
    </row>
    <row r="647" spans="2:15" x14ac:dyDescent="0.25">
      <c r="B647" s="1011"/>
      <c r="C647" s="528"/>
      <c r="D647" s="633" t="str">
        <f>'19 работа техники'!AB578</f>
        <v xml:space="preserve">Углерод </v>
      </c>
      <c r="E647" s="702" t="str">
        <f>'19 работа техники'!AC578</f>
        <v>0328</v>
      </c>
      <c r="F647" s="638"/>
      <c r="G647" s="638"/>
      <c r="H647" s="638"/>
      <c r="I647" s="638"/>
      <c r="J647" s="638"/>
      <c r="K647" s="638"/>
      <c r="L647" s="638"/>
      <c r="M647" s="638"/>
      <c r="N647" s="638">
        <f>'19 работа техники'!AD578+'20 въезд-выезд авто'!AG482</f>
        <v>6.6E-3</v>
      </c>
      <c r="O647" s="638">
        <f>'19 работа техники'!AE578+'20 въезд-выезд авто'!AH482</f>
        <v>1.644E-2</v>
      </c>
    </row>
    <row r="648" spans="2:15" x14ac:dyDescent="0.25">
      <c r="B648" s="1013"/>
      <c r="C648" s="528"/>
      <c r="D648" s="640" t="str">
        <f>'19 работа техники'!AB579</f>
        <v>Углерода оксид</v>
      </c>
      <c r="E648" s="703" t="str">
        <f>'19 работа техники'!AC579</f>
        <v>0337</v>
      </c>
      <c r="F648" s="645"/>
      <c r="G648" s="645"/>
      <c r="H648" s="645"/>
      <c r="I648" s="645"/>
      <c r="J648" s="645"/>
      <c r="K648" s="645"/>
      <c r="L648" s="645"/>
      <c r="M648" s="645"/>
      <c r="N648" s="645">
        <f>'19 работа техники'!AD579+'20 въезд-выезд авто'!AG481</f>
        <v>7.5600000000000001E-2</v>
      </c>
      <c r="O648" s="645">
        <f>'19 работа техники'!AE579+'20 въезд-выезд авто'!AH481</f>
        <v>0.1032</v>
      </c>
    </row>
    <row r="649" spans="2:15" ht="16.5" customHeight="1" x14ac:dyDescent="0.25">
      <c r="B649" s="998" t="s">
        <v>701</v>
      </c>
      <c r="C649" s="525" t="s">
        <v>585</v>
      </c>
      <c r="D649" s="626" t="str">
        <f>'19 работа техники'!AB581</f>
        <v>Азота диоксид</v>
      </c>
      <c r="E649" s="701" t="str">
        <f>'19 работа техники'!AC581</f>
        <v>0301</v>
      </c>
      <c r="F649" s="631"/>
      <c r="G649" s="631"/>
      <c r="H649" s="631"/>
      <c r="I649" s="631"/>
      <c r="J649" s="631"/>
      <c r="K649" s="631"/>
      <c r="L649" s="631"/>
      <c r="M649" s="631"/>
      <c r="N649" s="631">
        <f>'19 работа техники'!AD581+'20 въезд-выезд авто'!AG484</f>
        <v>0.04</v>
      </c>
      <c r="O649" s="631">
        <f>'19 работа техники'!AE581+'20 въезд-выезд авто'!AH484</f>
        <v>0.12</v>
      </c>
    </row>
    <row r="650" spans="2:15" x14ac:dyDescent="0.25">
      <c r="B650" s="999"/>
      <c r="C650" s="528" t="s">
        <v>1204</v>
      </c>
      <c r="D650" s="633" t="str">
        <f>'19 работа техники'!AB582</f>
        <v>Азота оксид</v>
      </c>
      <c r="E650" s="702" t="str">
        <f>'19 работа техники'!AC582</f>
        <v>0304</v>
      </c>
      <c r="F650" s="638"/>
      <c r="G650" s="638"/>
      <c r="H650" s="638"/>
      <c r="I650" s="638"/>
      <c r="J650" s="638"/>
      <c r="K650" s="638"/>
      <c r="L650" s="638"/>
      <c r="M650" s="638"/>
      <c r="N650" s="638">
        <f>'19 работа техники'!AD582+'20 въезд-выезд авто'!AG485</f>
        <v>6.5000000000000006E-3</v>
      </c>
      <c r="O650" s="638">
        <f>'19 работа техники'!AE582+'20 въезд-выезд авто'!AH485</f>
        <v>1.95E-2</v>
      </c>
    </row>
    <row r="651" spans="2:15" x14ac:dyDescent="0.25">
      <c r="B651" s="999"/>
      <c r="C651" s="528"/>
      <c r="D651" s="633" t="str">
        <f>'19 работа техники'!AB583</f>
        <v>Серы диоксид</v>
      </c>
      <c r="E651" s="702" t="str">
        <f>'19 работа техники'!AC583</f>
        <v>0330</v>
      </c>
      <c r="F651" s="638"/>
      <c r="G651" s="638"/>
      <c r="H651" s="638"/>
      <c r="I651" s="638"/>
      <c r="J651" s="638"/>
      <c r="K651" s="638"/>
      <c r="L651" s="638"/>
      <c r="M651" s="638"/>
      <c r="N651" s="638">
        <f>'19 работа техники'!AD583+'20 въезд-выезд авто'!AG486</f>
        <v>4.1999999999999997E-3</v>
      </c>
      <c r="O651" s="638">
        <f>'19 работа техники'!AE583+'20 въезд-выезд авто'!AH486</f>
        <v>1.221E-2</v>
      </c>
    </row>
    <row r="652" spans="2:15" x14ac:dyDescent="0.25">
      <c r="B652" s="999"/>
      <c r="C652" s="528"/>
      <c r="D652" s="633" t="str">
        <f>'19 работа техники'!AB584</f>
        <v>Керосин</v>
      </c>
      <c r="E652" s="702" t="str">
        <f>'19 работа техники'!AC584</f>
        <v>2732</v>
      </c>
      <c r="F652" s="638"/>
      <c r="G652" s="638"/>
      <c r="H652" s="638"/>
      <c r="I652" s="638"/>
      <c r="J652" s="638"/>
      <c r="K652" s="638"/>
      <c r="L652" s="638"/>
      <c r="M652" s="638"/>
      <c r="N652" s="638">
        <f>'19 работа техники'!AD584+'20 въезд-выезд авто'!AG487</f>
        <v>1.4100000000000001E-2</v>
      </c>
      <c r="O652" s="638">
        <f>'19 работа техники'!AE584+'20 въезд-выезд авто'!AH487</f>
        <v>2.86E-2</v>
      </c>
    </row>
    <row r="653" spans="2:15" x14ac:dyDescent="0.25">
      <c r="B653" s="999"/>
      <c r="C653" s="528"/>
      <c r="D653" s="633" t="str">
        <f>'19 работа техники'!AB585</f>
        <v xml:space="preserve">Углерод </v>
      </c>
      <c r="E653" s="702" t="str">
        <f>'19 работа техники'!AC585</f>
        <v>0328</v>
      </c>
      <c r="F653" s="638"/>
      <c r="G653" s="638"/>
      <c r="H653" s="638"/>
      <c r="I653" s="638"/>
      <c r="J653" s="638"/>
      <c r="K653" s="638"/>
      <c r="L653" s="638"/>
      <c r="M653" s="638"/>
      <c r="N653" s="638">
        <f>'19 работа техники'!AD585+'20 въезд-выезд авто'!AG489</f>
        <v>6.6E-3</v>
      </c>
      <c r="O653" s="638">
        <f>'19 работа техники'!AE585+'20 въезд-выезд авто'!AH489</f>
        <v>1.644E-2</v>
      </c>
    </row>
    <row r="654" spans="2:15" x14ac:dyDescent="0.25">
      <c r="B654" s="999"/>
      <c r="C654" s="529"/>
      <c r="D654" s="640" t="str">
        <f>'19 работа техники'!AB586</f>
        <v>Углерода оксид</v>
      </c>
      <c r="E654" s="703" t="str">
        <f>'19 работа техники'!AC586</f>
        <v>0337</v>
      </c>
      <c r="F654" s="645"/>
      <c r="G654" s="645"/>
      <c r="H654" s="645"/>
      <c r="I654" s="645"/>
      <c r="J654" s="645"/>
      <c r="K654" s="645"/>
      <c r="L654" s="645"/>
      <c r="M654" s="645"/>
      <c r="N654" s="645">
        <f>'19 работа техники'!AD586+'20 въезд-выезд авто'!AG488</f>
        <v>7.5600000000000001E-2</v>
      </c>
      <c r="O654" s="645">
        <f>'19 работа техники'!AE586+'20 въезд-выезд авто'!AH488</f>
        <v>0.1032</v>
      </c>
    </row>
    <row r="655" spans="2:15" ht="16.5" customHeight="1" x14ac:dyDescent="0.25">
      <c r="B655" s="998" t="s">
        <v>1205</v>
      </c>
      <c r="C655" s="525" t="s">
        <v>589</v>
      </c>
      <c r="D655" s="626" t="str">
        <f>'19 работа техники'!AB588</f>
        <v>Азота диоксид</v>
      </c>
      <c r="E655" s="701" t="str">
        <f>'19 работа техники'!AC588</f>
        <v>0301</v>
      </c>
      <c r="F655" s="631"/>
      <c r="G655" s="631"/>
      <c r="H655" s="631"/>
      <c r="I655" s="631"/>
      <c r="J655" s="631"/>
      <c r="K655" s="631"/>
      <c r="L655" s="631"/>
      <c r="M655" s="631"/>
      <c r="N655" s="631">
        <f>'19 работа техники'!AD588+'20 въезд-выезд авто'!AG491</f>
        <v>0.04</v>
      </c>
      <c r="O655" s="631">
        <f>'19 работа техники'!AE588+'20 въезд-выезд авто'!AH491</f>
        <v>0.12</v>
      </c>
    </row>
    <row r="656" spans="2:15" x14ac:dyDescent="0.25">
      <c r="B656" s="999"/>
      <c r="C656" s="528" t="s">
        <v>166</v>
      </c>
      <c r="D656" s="633" t="str">
        <f>'19 работа техники'!AB589</f>
        <v>Азота оксид</v>
      </c>
      <c r="E656" s="702" t="str">
        <f>'19 работа техники'!AC589</f>
        <v>0304</v>
      </c>
      <c r="F656" s="638"/>
      <c r="G656" s="638"/>
      <c r="H656" s="638"/>
      <c r="I656" s="638"/>
      <c r="J656" s="638"/>
      <c r="K656" s="638"/>
      <c r="L656" s="638"/>
      <c r="M656" s="638"/>
      <c r="N656" s="638">
        <f>'19 работа техники'!AD589+'20 въезд-выезд авто'!AG492</f>
        <v>6.5000000000000006E-3</v>
      </c>
      <c r="O656" s="638">
        <f>'19 работа техники'!AE589+'20 въезд-выезд авто'!AH492</f>
        <v>1.95E-2</v>
      </c>
    </row>
    <row r="657" spans="2:15" x14ac:dyDescent="0.25">
      <c r="B657" s="999"/>
      <c r="C657" s="528"/>
      <c r="D657" s="633" t="str">
        <f>'19 работа техники'!AB590</f>
        <v>Серы диоксид</v>
      </c>
      <c r="E657" s="702" t="str">
        <f>'19 работа техники'!AC590</f>
        <v>0330</v>
      </c>
      <c r="F657" s="638"/>
      <c r="G657" s="638"/>
      <c r="H657" s="638"/>
      <c r="I657" s="638"/>
      <c r="J657" s="638"/>
      <c r="K657" s="638"/>
      <c r="L657" s="638"/>
      <c r="M657" s="638"/>
      <c r="N657" s="638">
        <f>'19 работа техники'!AD590+'20 въезд-выезд авто'!AG493</f>
        <v>4.1999999999999997E-3</v>
      </c>
      <c r="O657" s="638">
        <f>'19 работа техники'!AE590+'20 въезд-выезд авто'!AH493</f>
        <v>1.221E-2</v>
      </c>
    </row>
    <row r="658" spans="2:15" x14ac:dyDescent="0.25">
      <c r="B658" s="999"/>
      <c r="C658" s="528"/>
      <c r="D658" s="633" t="str">
        <f>'19 работа техники'!AB591</f>
        <v>Керосин</v>
      </c>
      <c r="E658" s="702" t="str">
        <f>'19 работа техники'!AC591</f>
        <v>2732</v>
      </c>
      <c r="F658" s="638"/>
      <c r="G658" s="638"/>
      <c r="H658" s="638"/>
      <c r="I658" s="638"/>
      <c r="J658" s="638"/>
      <c r="K658" s="638"/>
      <c r="L658" s="638"/>
      <c r="M658" s="638"/>
      <c r="N658" s="638">
        <f>'19 работа техники'!AD591+'20 въезд-выезд авто'!AG494</f>
        <v>1.4100000000000001E-2</v>
      </c>
      <c r="O658" s="638">
        <f>'19 работа техники'!AE591+'20 въезд-выезд авто'!AH494</f>
        <v>2.86E-2</v>
      </c>
    </row>
    <row r="659" spans="2:15" x14ac:dyDescent="0.25">
      <c r="B659" s="999"/>
      <c r="C659" s="528"/>
      <c r="D659" s="633" t="str">
        <f>'19 работа техники'!AB592</f>
        <v xml:space="preserve">Углерод </v>
      </c>
      <c r="E659" s="702" t="str">
        <f>'19 работа техники'!AC592</f>
        <v>0328</v>
      </c>
      <c r="F659" s="638"/>
      <c r="G659" s="638"/>
      <c r="H659" s="638"/>
      <c r="I659" s="638"/>
      <c r="J659" s="638"/>
      <c r="K659" s="638"/>
      <c r="L659" s="638"/>
      <c r="M659" s="638"/>
      <c r="N659" s="638">
        <f>'19 работа техники'!AD592+'20 въезд-выезд авто'!AG496</f>
        <v>6.6E-3</v>
      </c>
      <c r="O659" s="638">
        <f>'19 работа техники'!AE592+'20 въезд-выезд авто'!AH496</f>
        <v>1.644E-2</v>
      </c>
    </row>
    <row r="660" spans="2:15" x14ac:dyDescent="0.25">
      <c r="B660" s="999"/>
      <c r="C660" s="529"/>
      <c r="D660" s="640" t="str">
        <f>'19 работа техники'!AB593</f>
        <v>Углерода оксид</v>
      </c>
      <c r="E660" s="703" t="str">
        <f>'19 работа техники'!AC593</f>
        <v>0337</v>
      </c>
      <c r="F660" s="645"/>
      <c r="G660" s="645"/>
      <c r="H660" s="645"/>
      <c r="I660" s="645"/>
      <c r="J660" s="645"/>
      <c r="K660" s="645"/>
      <c r="L660" s="645"/>
      <c r="M660" s="645"/>
      <c r="N660" s="645">
        <f>'19 работа техники'!AD593+'20 въезд-выезд авто'!AG495</f>
        <v>7.5600000000000001E-2</v>
      </c>
      <c r="O660" s="645">
        <f>'19 работа техники'!AE593+'20 въезд-выезд авто'!AH495</f>
        <v>0.1032</v>
      </c>
    </row>
    <row r="661" spans="2:15" ht="16.5" customHeight="1" x14ac:dyDescent="0.25">
      <c r="B661" s="998" t="s">
        <v>703</v>
      </c>
      <c r="C661" s="525" t="s">
        <v>676</v>
      </c>
      <c r="D661" s="626" t="str">
        <f>'19 работа техники'!AB595</f>
        <v>Азота диоксид</v>
      </c>
      <c r="E661" s="701" t="str">
        <f>'19 работа техники'!AC595</f>
        <v>0301</v>
      </c>
      <c r="F661" s="631"/>
      <c r="G661" s="631"/>
      <c r="H661" s="631"/>
      <c r="I661" s="631"/>
      <c r="J661" s="631"/>
      <c r="K661" s="631"/>
      <c r="L661" s="631">
        <f>'19 работа техники'!AD276+'20 въезд-выезд авто'!AG231</f>
        <v>0.04</v>
      </c>
      <c r="M661" s="631">
        <f>'19 работа техники'!AE276+'20 въезд-выезд авто'!AH231</f>
        <v>6.4199999999999993E-2</v>
      </c>
      <c r="N661" s="631">
        <f>'19 работа техники'!AD595+'20 въезд-выезд авто'!AG498</f>
        <v>0.04</v>
      </c>
      <c r="O661" s="631">
        <f>'19 работа техники'!AE595+'20 въезд-выезд авто'!AH498</f>
        <v>0.25650000000000001</v>
      </c>
    </row>
    <row r="662" spans="2:15" x14ac:dyDescent="0.25">
      <c r="B662" s="999"/>
      <c r="C662" s="528" t="s">
        <v>1203</v>
      </c>
      <c r="D662" s="633" t="str">
        <f>'19 работа техники'!AB596</f>
        <v>Азота оксид</v>
      </c>
      <c r="E662" s="702" t="str">
        <f>'19 работа техники'!AC596</f>
        <v>0304</v>
      </c>
      <c r="F662" s="638"/>
      <c r="G662" s="638"/>
      <c r="H662" s="638"/>
      <c r="I662" s="638"/>
      <c r="J662" s="638"/>
      <c r="K662" s="638"/>
      <c r="L662" s="638">
        <f>'19 работа техники'!AD277+'20 въезд-выезд авто'!AG232</f>
        <v>6.5000000000000006E-3</v>
      </c>
      <c r="M662" s="638">
        <f>'19 работа техники'!AE277+'20 въезд-выезд авто'!AH232</f>
        <v>1.0499999999999999E-2</v>
      </c>
      <c r="N662" s="638">
        <f>'19 работа техники'!AD596+'20 въезд-выезд авто'!AG499</f>
        <v>6.5000000000000006E-3</v>
      </c>
      <c r="O662" s="638">
        <f>'19 работа техники'!AE596+'20 въезд-выезд авто'!AH499</f>
        <v>4.1600000000000005E-2</v>
      </c>
    </row>
    <row r="663" spans="2:15" x14ac:dyDescent="0.25">
      <c r="B663" s="999"/>
      <c r="C663" s="528"/>
      <c r="D663" s="633" t="str">
        <f>'19 работа техники'!AB597</f>
        <v>Серы диоксид</v>
      </c>
      <c r="E663" s="702" t="str">
        <f>'19 работа техники'!AC597</f>
        <v>0330</v>
      </c>
      <c r="F663" s="638"/>
      <c r="G663" s="638"/>
      <c r="H663" s="638"/>
      <c r="I663" s="638"/>
      <c r="J663" s="638"/>
      <c r="K663" s="638"/>
      <c r="L663" s="638">
        <f>'19 работа техники'!AD278+'20 въезд-выезд авто'!AG233</f>
        <v>4.1999999999999997E-3</v>
      </c>
      <c r="M663" s="638">
        <f>'19 работа техники'!AE278+'20 въезд-выезд авто'!AH233</f>
        <v>7.5100000000000002E-3</v>
      </c>
      <c r="N663" s="638">
        <f>'19 работа техники'!AD597+'20 въезд-выезд авто'!AG500</f>
        <v>4.1999999999999997E-3</v>
      </c>
      <c r="O663" s="638">
        <f>'19 работа техники'!AE597+'20 въезд-выезд авто'!AH500</f>
        <v>2.7790000000000002E-2</v>
      </c>
    </row>
    <row r="664" spans="2:15" x14ac:dyDescent="0.25">
      <c r="B664" s="999"/>
      <c r="C664" s="528"/>
      <c r="D664" s="633" t="str">
        <f>'19 работа техники'!AB598</f>
        <v>Керосин</v>
      </c>
      <c r="E664" s="702" t="str">
        <f>'19 работа техники'!AC598</f>
        <v>2732</v>
      </c>
      <c r="F664" s="638"/>
      <c r="G664" s="638"/>
      <c r="H664" s="638"/>
      <c r="I664" s="638"/>
      <c r="J664" s="638"/>
      <c r="K664" s="638"/>
      <c r="L664" s="638">
        <f>'19 работа техники'!AD279+'20 въезд-выезд авто'!AG234</f>
        <v>1.4100000000000001E-2</v>
      </c>
      <c r="M664" s="638">
        <f>'19 работа техники'!AE279+'20 въезд-выезд авто'!AH234</f>
        <v>1.8200000000000001E-2</v>
      </c>
      <c r="N664" s="638">
        <f>'19 работа техники'!AD598+'20 въезд-выезд авто'!AG501</f>
        <v>1.4100000000000001E-2</v>
      </c>
      <c r="O664" s="638">
        <f>'19 работа техники'!AE598+'20 въезд-выезд авто'!AH501</f>
        <v>6.6099999999999992E-2</v>
      </c>
    </row>
    <row r="665" spans="2:15" x14ac:dyDescent="0.25">
      <c r="B665" s="999"/>
      <c r="C665" s="528"/>
      <c r="D665" s="633" t="str">
        <f>'19 работа техники'!AB599</f>
        <v xml:space="preserve">Углерод </v>
      </c>
      <c r="E665" s="702" t="str">
        <f>'19 работа техники'!AC599</f>
        <v>0328</v>
      </c>
      <c r="F665" s="638"/>
      <c r="G665" s="638"/>
      <c r="H665" s="638"/>
      <c r="I665" s="638"/>
      <c r="J665" s="638"/>
      <c r="K665" s="638"/>
      <c r="L665" s="638">
        <f>'19 работа техники'!AD280+'20 въезд-выезд авто'!AG236</f>
        <v>6.6E-3</v>
      </c>
      <c r="M665" s="638">
        <f>'19 работа техники'!AE280+'20 въезд-выезд авто'!AH236</f>
        <v>1.2529999999999999E-2</v>
      </c>
      <c r="N665" s="638">
        <f>'19 работа техники'!AD599+'20 въезд-выезд авто'!AG503</f>
        <v>6.6E-3</v>
      </c>
      <c r="O665" s="638">
        <f>'19 работа техники'!AE599+'20 въезд-выезд авто'!AH503</f>
        <v>4.2430000000000002E-2</v>
      </c>
    </row>
    <row r="666" spans="2:15" x14ac:dyDescent="0.25">
      <c r="B666" s="999"/>
      <c r="C666" s="529"/>
      <c r="D666" s="640" t="str">
        <f>'19 работа техники'!AB600</f>
        <v>Углерода оксид</v>
      </c>
      <c r="E666" s="703" t="str">
        <f>'19 работа техники'!AC600</f>
        <v>0337</v>
      </c>
      <c r="F666" s="645"/>
      <c r="G666" s="645"/>
      <c r="H666" s="645"/>
      <c r="I666" s="645"/>
      <c r="J666" s="645"/>
      <c r="K666" s="645"/>
      <c r="L666" s="645">
        <f>'19 работа техники'!AD281+'20 въезд-выезд авто'!AG235</f>
        <v>7.5600000000000001E-2</v>
      </c>
      <c r="M666" s="645">
        <f>'19 работа техники'!AE281+'20 въезд-выезд авто'!AH235</f>
        <v>7.0699999999999999E-2</v>
      </c>
      <c r="N666" s="645">
        <f>'19 работа техники'!AD600+'20 въезд-выезд авто'!AG502</f>
        <v>7.5600000000000001E-2</v>
      </c>
      <c r="O666" s="645">
        <f>'19 работа техники'!AE600+'20 въезд-выезд авто'!AH502</f>
        <v>0.24759999999999999</v>
      </c>
    </row>
    <row r="667" spans="2:15" ht="16.5" customHeight="1" x14ac:dyDescent="0.25">
      <c r="B667" s="998" t="s">
        <v>1015</v>
      </c>
      <c r="C667" s="525" t="s">
        <v>603</v>
      </c>
      <c r="D667" s="626" t="str">
        <f>'19 работа техники'!AB602</f>
        <v>Азота диоксид</v>
      </c>
      <c r="E667" s="701" t="str">
        <f>'19 работа техники'!AC602</f>
        <v>0301</v>
      </c>
      <c r="F667" s="631"/>
      <c r="G667" s="631"/>
      <c r="H667" s="631"/>
      <c r="I667" s="631"/>
      <c r="J667" s="631"/>
      <c r="K667" s="631"/>
      <c r="L667" s="631">
        <f>'19 работа техники'!AD283</f>
        <v>3.09E-2</v>
      </c>
      <c r="M667" s="631">
        <f>'19 работа техники'!AE283</f>
        <v>6.1899999999999997E-2</v>
      </c>
      <c r="N667" s="631">
        <f>'19 работа техники'!AD602+'20 въезд-выезд авто'!AG505</f>
        <v>0.04</v>
      </c>
      <c r="O667" s="631">
        <f>'19 работа техники'!AE602+'20 въезд-выезд авто'!AH505</f>
        <v>0.12</v>
      </c>
    </row>
    <row r="668" spans="2:15" x14ac:dyDescent="0.25">
      <c r="B668" s="999"/>
      <c r="C668" s="528" t="s">
        <v>1203</v>
      </c>
      <c r="D668" s="633" t="str">
        <f>'19 работа техники'!AB603</f>
        <v>Азота оксид</v>
      </c>
      <c r="E668" s="702" t="str">
        <f>'19 работа техники'!AC603</f>
        <v>0304</v>
      </c>
      <c r="F668" s="638"/>
      <c r="G668" s="638"/>
      <c r="H668" s="638"/>
      <c r="I668" s="638"/>
      <c r="J668" s="638"/>
      <c r="K668" s="638"/>
      <c r="L668" s="638">
        <f>'19 работа техники'!AD284</f>
        <v>5.0000000000000001E-3</v>
      </c>
      <c r="M668" s="638">
        <f>'19 работа техники'!AE284</f>
        <v>1.01E-2</v>
      </c>
      <c r="N668" s="638">
        <f>'19 работа техники'!AD603+'20 въезд-выезд авто'!AG506</f>
        <v>6.5000000000000006E-3</v>
      </c>
      <c r="O668" s="638">
        <f>'19 работа техники'!AE603+'20 въезд-выезд авто'!AH506</f>
        <v>1.95E-2</v>
      </c>
    </row>
    <row r="669" spans="2:15" x14ac:dyDescent="0.25">
      <c r="B669" s="999"/>
      <c r="C669" s="528"/>
      <c r="D669" s="633" t="str">
        <f>'19 работа техники'!AB604</f>
        <v>Серы диоксид</v>
      </c>
      <c r="E669" s="702" t="str">
        <f>'19 работа техники'!AC604</f>
        <v>0330</v>
      </c>
      <c r="F669" s="638"/>
      <c r="G669" s="638"/>
      <c r="H669" s="638"/>
      <c r="I669" s="638"/>
      <c r="J669" s="638"/>
      <c r="K669" s="638"/>
      <c r="L669" s="638">
        <f>'19 работа техники'!AD285</f>
        <v>3.3999999999999998E-3</v>
      </c>
      <c r="M669" s="638">
        <f>'19 работа техники'!AE285</f>
        <v>7.3000000000000001E-3</v>
      </c>
      <c r="N669" s="638">
        <f>'19 работа техники'!AD604+'20 въезд-выезд авто'!AG507</f>
        <v>4.1999999999999997E-3</v>
      </c>
      <c r="O669" s="638">
        <f>'19 работа техники'!AE604+'20 въезд-выезд авто'!AH507</f>
        <v>1.221E-2</v>
      </c>
    </row>
    <row r="670" spans="2:15" x14ac:dyDescent="0.25">
      <c r="B670" s="999"/>
      <c r="C670" s="528"/>
      <c r="D670" s="633" t="str">
        <f>'19 работа техники'!AB605</f>
        <v>Керосин</v>
      </c>
      <c r="E670" s="702" t="str">
        <f>'19 работа техники'!AC605</f>
        <v>2732</v>
      </c>
      <c r="F670" s="638"/>
      <c r="G670" s="638"/>
      <c r="H670" s="638"/>
      <c r="I670" s="638"/>
      <c r="J670" s="638"/>
      <c r="K670" s="638"/>
      <c r="L670" s="638">
        <f>'19 работа техники'!AD286</f>
        <v>7.9000000000000008E-3</v>
      </c>
      <c r="M670" s="638">
        <f>'19 работа техники'!AE286</f>
        <v>1.66E-2</v>
      </c>
      <c r="N670" s="638">
        <f>'19 работа техники'!AD605+'20 въезд-выезд авто'!AG508</f>
        <v>1.4100000000000001E-2</v>
      </c>
      <c r="O670" s="638">
        <f>'19 работа техники'!AE605+'20 въезд-выезд авто'!AH508</f>
        <v>2.86E-2</v>
      </c>
    </row>
    <row r="671" spans="2:15" x14ac:dyDescent="0.25">
      <c r="B671" s="999"/>
      <c r="C671" s="528"/>
      <c r="D671" s="633" t="str">
        <f>'19 работа техники'!AB606</f>
        <v xml:space="preserve">Углерод </v>
      </c>
      <c r="E671" s="702" t="str">
        <f>'19 работа техники'!AC606</f>
        <v>0328</v>
      </c>
      <c r="F671" s="638"/>
      <c r="G671" s="638"/>
      <c r="H671" s="638"/>
      <c r="I671" s="638"/>
      <c r="J671" s="638"/>
      <c r="K671" s="638"/>
      <c r="L671" s="638">
        <f>'19 работа техники'!AD287</f>
        <v>5.7000000000000002E-3</v>
      </c>
      <c r="M671" s="638">
        <f>'19 работа техники'!AE287</f>
        <v>1.23E-2</v>
      </c>
      <c r="N671" s="638">
        <f>'19 работа техники'!AD606+'20 въезд-выезд авто'!AG510</f>
        <v>6.6E-3</v>
      </c>
      <c r="O671" s="638">
        <f>'19 работа техники'!AE606+'20 въезд-выезд авто'!AH510</f>
        <v>1.644E-2</v>
      </c>
    </row>
    <row r="672" spans="2:15" x14ac:dyDescent="0.25">
      <c r="B672" s="999"/>
      <c r="C672" s="529"/>
      <c r="D672" s="640" t="str">
        <f>'19 работа техники'!AB607</f>
        <v>Углерода оксид</v>
      </c>
      <c r="E672" s="703" t="str">
        <f>'19 работа техники'!AC607</f>
        <v>0337</v>
      </c>
      <c r="F672" s="645"/>
      <c r="G672" s="645"/>
      <c r="H672" s="645"/>
      <c r="I672" s="645"/>
      <c r="J672" s="645"/>
      <c r="K672" s="645"/>
      <c r="L672" s="645">
        <f>'19 работа техники'!AD288</f>
        <v>2.92E-2</v>
      </c>
      <c r="M672" s="645">
        <f>'19 работа техники'!AE288</f>
        <v>5.8999999999999997E-2</v>
      </c>
      <c r="N672" s="645">
        <f>'19 работа техники'!AD607+'20 въезд-выезд авто'!AG509</f>
        <v>7.5600000000000001E-2</v>
      </c>
      <c r="O672" s="645">
        <f>'19 работа техники'!AE607+'20 въезд-выезд авто'!AH509</f>
        <v>0.1032</v>
      </c>
    </row>
    <row r="673" spans="2:15" ht="16.5" customHeight="1" x14ac:dyDescent="0.25">
      <c r="B673" s="998" t="s">
        <v>1016</v>
      </c>
      <c r="C673" s="525" t="s">
        <v>679</v>
      </c>
      <c r="D673" s="626" t="str">
        <f>'19 работа техники'!AB609</f>
        <v>Азота диоксид</v>
      </c>
      <c r="E673" s="701" t="str">
        <f>'19 работа техники'!AC609</f>
        <v>0301</v>
      </c>
      <c r="F673" s="631"/>
      <c r="G673" s="631"/>
      <c r="H673" s="631"/>
      <c r="I673" s="631"/>
      <c r="J673" s="631"/>
      <c r="K673" s="631"/>
      <c r="L673" s="631"/>
      <c r="M673" s="631"/>
      <c r="N673" s="631">
        <f>'19 работа техники'!AD609+'20 въезд-выезд авто'!AG512</f>
        <v>0.04</v>
      </c>
      <c r="O673" s="631">
        <f>'19 работа техники'!AE609+'20 въезд-выезд авто'!AH512</f>
        <v>0.12</v>
      </c>
    </row>
    <row r="674" spans="2:15" x14ac:dyDescent="0.25">
      <c r="B674" s="999"/>
      <c r="C674" s="528" t="s">
        <v>1203</v>
      </c>
      <c r="D674" s="633" t="str">
        <f>'19 работа техники'!AB610</f>
        <v>Азота оксид</v>
      </c>
      <c r="E674" s="702" t="str">
        <f>'19 работа техники'!AC610</f>
        <v>0304</v>
      </c>
      <c r="F674" s="638"/>
      <c r="G674" s="638"/>
      <c r="H674" s="638"/>
      <c r="I674" s="638"/>
      <c r="J674" s="638"/>
      <c r="K674" s="638"/>
      <c r="L674" s="638"/>
      <c r="M674" s="638"/>
      <c r="N674" s="638">
        <f>'19 работа техники'!AD610+'20 въезд-выезд авто'!AG513</f>
        <v>6.5000000000000006E-3</v>
      </c>
      <c r="O674" s="638">
        <f>'19 работа техники'!AE610+'20 въезд-выезд авто'!AH513</f>
        <v>1.95E-2</v>
      </c>
    </row>
    <row r="675" spans="2:15" x14ac:dyDescent="0.25">
      <c r="B675" s="999"/>
      <c r="C675" s="528"/>
      <c r="D675" s="633" t="str">
        <f>'19 работа техники'!AB611</f>
        <v>Серы диоксид</v>
      </c>
      <c r="E675" s="702" t="str">
        <f>'19 работа техники'!AC611</f>
        <v>0330</v>
      </c>
      <c r="F675" s="638"/>
      <c r="G675" s="638"/>
      <c r="H675" s="638"/>
      <c r="I675" s="638"/>
      <c r="J675" s="638"/>
      <c r="K675" s="638"/>
      <c r="L675" s="638"/>
      <c r="M675" s="638"/>
      <c r="N675" s="638">
        <f>'19 работа техники'!AD611+'20 въезд-выезд авто'!AG514</f>
        <v>4.1999999999999997E-3</v>
      </c>
      <c r="O675" s="638">
        <f>'19 работа техники'!AE611+'20 въезд-выезд авто'!AH514</f>
        <v>1.221E-2</v>
      </c>
    </row>
    <row r="676" spans="2:15" x14ac:dyDescent="0.25">
      <c r="B676" s="999"/>
      <c r="C676" s="528"/>
      <c r="D676" s="633" t="str">
        <f>'19 работа техники'!AB612</f>
        <v>Керосин</v>
      </c>
      <c r="E676" s="702" t="str">
        <f>'19 работа техники'!AC612</f>
        <v>2732</v>
      </c>
      <c r="F676" s="638"/>
      <c r="G676" s="638"/>
      <c r="H676" s="638"/>
      <c r="I676" s="638"/>
      <c r="J676" s="638"/>
      <c r="K676" s="638"/>
      <c r="L676" s="638"/>
      <c r="M676" s="638"/>
      <c r="N676" s="638">
        <f>'19 работа техники'!AD612+'20 въезд-выезд авто'!AG515</f>
        <v>1.4100000000000001E-2</v>
      </c>
      <c r="O676" s="638">
        <f>'19 работа техники'!AE612+'20 въезд-выезд авто'!AH515</f>
        <v>2.86E-2</v>
      </c>
    </row>
    <row r="677" spans="2:15" x14ac:dyDescent="0.25">
      <c r="B677" s="999"/>
      <c r="C677" s="528"/>
      <c r="D677" s="633" t="str">
        <f>'19 работа техники'!AB613</f>
        <v xml:space="preserve">Углерод </v>
      </c>
      <c r="E677" s="702" t="str">
        <f>'19 работа техники'!AC613</f>
        <v>0328</v>
      </c>
      <c r="F677" s="638"/>
      <c r="G677" s="638"/>
      <c r="H677" s="638"/>
      <c r="I677" s="638"/>
      <c r="J677" s="638"/>
      <c r="K677" s="638"/>
      <c r="L677" s="638"/>
      <c r="M677" s="638"/>
      <c r="N677" s="638">
        <f>'19 работа техники'!AD613+'20 въезд-выезд авто'!AG517</f>
        <v>6.6E-3</v>
      </c>
      <c r="O677" s="638">
        <f>'19 работа техники'!AE613+'20 въезд-выезд авто'!AH517</f>
        <v>1.644E-2</v>
      </c>
    </row>
    <row r="678" spans="2:15" x14ac:dyDescent="0.25">
      <c r="B678" s="999"/>
      <c r="C678" s="529"/>
      <c r="D678" s="640" t="str">
        <f>'19 работа техники'!AB614</f>
        <v>Углерода оксид</v>
      </c>
      <c r="E678" s="703" t="str">
        <f>'19 работа техники'!AC614</f>
        <v>0337</v>
      </c>
      <c r="F678" s="645"/>
      <c r="G678" s="645"/>
      <c r="H678" s="645"/>
      <c r="I678" s="645"/>
      <c r="J678" s="645"/>
      <c r="K678" s="645"/>
      <c r="L678" s="645"/>
      <c r="M678" s="645"/>
      <c r="N678" s="645">
        <f>'19 работа техники'!AD614+'20 въезд-выезд авто'!AG516</f>
        <v>7.5600000000000001E-2</v>
      </c>
      <c r="O678" s="645">
        <f>'19 работа техники'!AE614+'20 въезд-выезд авто'!AH516</f>
        <v>0.1032</v>
      </c>
    </row>
    <row r="679" spans="2:15" ht="16.5" customHeight="1" x14ac:dyDescent="0.25">
      <c r="B679" s="998" t="s">
        <v>1017</v>
      </c>
      <c r="C679" s="525" t="s">
        <v>131</v>
      </c>
      <c r="D679" s="626" t="str">
        <f>'19 работа техники'!AB616</f>
        <v>Азота диоксид</v>
      </c>
      <c r="E679" s="701" t="str">
        <f>'19 работа техники'!AC616</f>
        <v>0301</v>
      </c>
      <c r="F679" s="631"/>
      <c r="G679" s="631"/>
      <c r="H679" s="631"/>
      <c r="I679" s="631"/>
      <c r="J679" s="631"/>
      <c r="K679" s="631"/>
      <c r="L679" s="631"/>
      <c r="M679" s="631"/>
      <c r="N679" s="631">
        <f>'19 работа техники'!AD616+'20 въезд-выезд авто'!AG519</f>
        <v>0.04</v>
      </c>
      <c r="O679" s="631">
        <f>'19 работа техники'!AE616+'20 въезд-выезд авто'!AH519</f>
        <v>0.12</v>
      </c>
    </row>
    <row r="680" spans="2:15" x14ac:dyDescent="0.25">
      <c r="B680" s="999"/>
      <c r="C680" s="528" t="s">
        <v>1203</v>
      </c>
      <c r="D680" s="633" t="str">
        <f>'19 работа техники'!AB617</f>
        <v>Азота оксид</v>
      </c>
      <c r="E680" s="702" t="str">
        <f>'19 работа техники'!AC617</f>
        <v>0304</v>
      </c>
      <c r="F680" s="638"/>
      <c r="G680" s="638"/>
      <c r="H680" s="638"/>
      <c r="I680" s="638"/>
      <c r="J680" s="638"/>
      <c r="K680" s="638"/>
      <c r="L680" s="638"/>
      <c r="M680" s="638"/>
      <c r="N680" s="638">
        <f>'19 работа техники'!AD617+'20 въезд-выезд авто'!AG520</f>
        <v>6.5000000000000006E-3</v>
      </c>
      <c r="O680" s="638">
        <f>'19 работа техники'!AE617+'20 въезд-выезд авто'!AH520</f>
        <v>1.95E-2</v>
      </c>
    </row>
    <row r="681" spans="2:15" x14ac:dyDescent="0.25">
      <c r="B681" s="999"/>
      <c r="C681" s="528"/>
      <c r="D681" s="633" t="str">
        <f>'19 работа техники'!AB618</f>
        <v>Серы диоксид</v>
      </c>
      <c r="E681" s="702" t="str">
        <f>'19 работа техники'!AC618</f>
        <v>0330</v>
      </c>
      <c r="F681" s="638"/>
      <c r="G681" s="638"/>
      <c r="H681" s="638"/>
      <c r="I681" s="638"/>
      <c r="J681" s="638"/>
      <c r="K681" s="638"/>
      <c r="L681" s="638"/>
      <c r="M681" s="638"/>
      <c r="N681" s="638">
        <f>'19 работа техники'!AD618+'20 въезд-выезд авто'!AG521</f>
        <v>4.1999999999999997E-3</v>
      </c>
      <c r="O681" s="638">
        <f>'19 работа техники'!AE618+'20 въезд-выезд авто'!AH521</f>
        <v>1.221E-2</v>
      </c>
    </row>
    <row r="682" spans="2:15" x14ac:dyDescent="0.25">
      <c r="B682" s="999"/>
      <c r="C682" s="528"/>
      <c r="D682" s="633" t="str">
        <f>'19 работа техники'!AB619</f>
        <v>Керосин</v>
      </c>
      <c r="E682" s="702" t="str">
        <f>'19 работа техники'!AC619</f>
        <v>2732</v>
      </c>
      <c r="F682" s="638"/>
      <c r="G682" s="638"/>
      <c r="H682" s="638"/>
      <c r="I682" s="638"/>
      <c r="J682" s="638"/>
      <c r="K682" s="638"/>
      <c r="L682" s="638"/>
      <c r="M682" s="638"/>
      <c r="N682" s="638">
        <f>'19 работа техники'!AD619+'20 въезд-выезд авто'!AG522</f>
        <v>1.4100000000000001E-2</v>
      </c>
      <c r="O682" s="638">
        <f>'19 работа техники'!AE619+'20 въезд-выезд авто'!AH522</f>
        <v>2.86E-2</v>
      </c>
    </row>
    <row r="683" spans="2:15" x14ac:dyDescent="0.25">
      <c r="B683" s="999"/>
      <c r="C683" s="528"/>
      <c r="D683" s="633" t="str">
        <f>'19 работа техники'!AB620</f>
        <v xml:space="preserve">Углерод </v>
      </c>
      <c r="E683" s="702" t="str">
        <f>'19 работа техники'!AC620</f>
        <v>0328</v>
      </c>
      <c r="F683" s="638"/>
      <c r="G683" s="638"/>
      <c r="H683" s="638"/>
      <c r="I683" s="638"/>
      <c r="J683" s="638"/>
      <c r="K683" s="638"/>
      <c r="L683" s="638"/>
      <c r="M683" s="638"/>
      <c r="N683" s="638">
        <f>'19 работа техники'!AD620+'20 въезд-выезд авто'!AG524</f>
        <v>6.6E-3</v>
      </c>
      <c r="O683" s="638">
        <f>'19 работа техники'!AE620+'20 въезд-выезд авто'!AH524</f>
        <v>1.644E-2</v>
      </c>
    </row>
    <row r="684" spans="2:15" x14ac:dyDescent="0.25">
      <c r="B684" s="999"/>
      <c r="C684" s="529"/>
      <c r="D684" s="640" t="str">
        <f>'19 работа техники'!AB621</f>
        <v>Углерода оксид</v>
      </c>
      <c r="E684" s="703" t="str">
        <f>'19 работа техники'!AC621</f>
        <v>0337</v>
      </c>
      <c r="F684" s="645"/>
      <c r="G684" s="645"/>
      <c r="H684" s="645"/>
      <c r="I684" s="645"/>
      <c r="J684" s="645"/>
      <c r="K684" s="645"/>
      <c r="L684" s="645"/>
      <c r="M684" s="645"/>
      <c r="N684" s="645">
        <f>'19 работа техники'!AD621+'20 въезд-выезд авто'!AG523</f>
        <v>7.5600000000000001E-2</v>
      </c>
      <c r="O684" s="645">
        <f>'19 работа техники'!AE621+'20 въезд-выезд авто'!AH523</f>
        <v>0.1032</v>
      </c>
    </row>
    <row r="685" spans="2:15" ht="16.5" customHeight="1" x14ac:dyDescent="0.25">
      <c r="B685" s="998" t="s">
        <v>1018</v>
      </c>
      <c r="C685" s="525" t="s">
        <v>683</v>
      </c>
      <c r="D685" s="626" t="str">
        <f>'19 работа техники'!AB623</f>
        <v>Азота диоксид</v>
      </c>
      <c r="E685" s="701" t="str">
        <f>'19 работа техники'!AC623</f>
        <v>0301</v>
      </c>
      <c r="F685" s="631"/>
      <c r="G685" s="631"/>
      <c r="H685" s="631"/>
      <c r="I685" s="631"/>
      <c r="J685" s="631"/>
      <c r="K685" s="631"/>
      <c r="L685" s="631"/>
      <c r="M685" s="631"/>
      <c r="N685" s="631">
        <f>'19 работа техники'!AD623+'20 въезд-выезд авто'!AG526</f>
        <v>0.04</v>
      </c>
      <c r="O685" s="631">
        <f>'19 работа техники'!AE623+'20 въезд-выезд авто'!AH526</f>
        <v>0.12</v>
      </c>
    </row>
    <row r="686" spans="2:15" x14ac:dyDescent="0.25">
      <c r="B686" s="999"/>
      <c r="C686" s="528" t="s">
        <v>1203</v>
      </c>
      <c r="D686" s="633" t="str">
        <f>'19 работа техники'!AB624</f>
        <v>Азота оксид</v>
      </c>
      <c r="E686" s="702" t="str">
        <f>'19 работа техники'!AC624</f>
        <v>0304</v>
      </c>
      <c r="F686" s="638"/>
      <c r="G686" s="638"/>
      <c r="H686" s="638"/>
      <c r="I686" s="638"/>
      <c r="J686" s="638"/>
      <c r="K686" s="638"/>
      <c r="L686" s="638"/>
      <c r="M686" s="638"/>
      <c r="N686" s="638">
        <f>'19 работа техники'!AD624+'20 въезд-выезд авто'!AG527</f>
        <v>6.5000000000000006E-3</v>
      </c>
      <c r="O686" s="638">
        <f>'19 работа техники'!AE624+'20 въезд-выезд авто'!AH527</f>
        <v>1.95E-2</v>
      </c>
    </row>
    <row r="687" spans="2:15" x14ac:dyDescent="0.25">
      <c r="B687" s="999"/>
      <c r="C687" s="528"/>
      <c r="D687" s="633" t="str">
        <f>'19 работа техники'!AB625</f>
        <v>Серы диоксид</v>
      </c>
      <c r="E687" s="702" t="str">
        <f>'19 работа техники'!AC625</f>
        <v>0330</v>
      </c>
      <c r="F687" s="638"/>
      <c r="G687" s="638"/>
      <c r="H687" s="638"/>
      <c r="I687" s="638"/>
      <c r="J687" s="638"/>
      <c r="K687" s="638"/>
      <c r="L687" s="638"/>
      <c r="M687" s="638"/>
      <c r="N687" s="638">
        <f>'19 работа техники'!AD625+'20 въезд-выезд авто'!AG528</f>
        <v>4.1999999999999997E-3</v>
      </c>
      <c r="O687" s="638">
        <f>'19 работа техники'!AE625+'20 въезд-выезд авто'!AH528</f>
        <v>1.221E-2</v>
      </c>
    </row>
    <row r="688" spans="2:15" x14ac:dyDescent="0.25">
      <c r="B688" s="999"/>
      <c r="C688" s="528"/>
      <c r="D688" s="633" t="str">
        <f>'19 работа техники'!AB626</f>
        <v>Керосин</v>
      </c>
      <c r="E688" s="702" t="str">
        <f>'19 работа техники'!AC626</f>
        <v>2732</v>
      </c>
      <c r="F688" s="638"/>
      <c r="G688" s="638"/>
      <c r="H688" s="638"/>
      <c r="I688" s="638"/>
      <c r="J688" s="638"/>
      <c r="K688" s="638"/>
      <c r="L688" s="638"/>
      <c r="M688" s="638"/>
      <c r="N688" s="638">
        <f>'19 работа техники'!AD626+'20 въезд-выезд авто'!AG529</f>
        <v>1.4100000000000001E-2</v>
      </c>
      <c r="O688" s="638">
        <f>'19 работа техники'!AE626+'20 въезд-выезд авто'!AH529</f>
        <v>2.86E-2</v>
      </c>
    </row>
    <row r="689" spans="2:15" x14ac:dyDescent="0.25">
      <c r="B689" s="999"/>
      <c r="C689" s="528"/>
      <c r="D689" s="633" t="str">
        <f>'19 работа техники'!AB627</f>
        <v xml:space="preserve">Углерод </v>
      </c>
      <c r="E689" s="702" t="str">
        <f>'19 работа техники'!AC627</f>
        <v>0328</v>
      </c>
      <c r="F689" s="638"/>
      <c r="G689" s="638"/>
      <c r="H689" s="638"/>
      <c r="I689" s="638"/>
      <c r="J689" s="638"/>
      <c r="K689" s="638"/>
      <c r="L689" s="638"/>
      <c r="M689" s="638"/>
      <c r="N689" s="638">
        <f>'19 работа техники'!AD627+'20 въезд-выезд авто'!AG531</f>
        <v>6.6E-3</v>
      </c>
      <c r="O689" s="638">
        <f>'19 работа техники'!AE627+'20 въезд-выезд авто'!AH531</f>
        <v>1.644E-2</v>
      </c>
    </row>
    <row r="690" spans="2:15" x14ac:dyDescent="0.25">
      <c r="B690" s="999"/>
      <c r="C690" s="529"/>
      <c r="D690" s="640" t="str">
        <f>'19 работа техники'!AB628</f>
        <v>Углерода оксид</v>
      </c>
      <c r="E690" s="703" t="str">
        <f>'19 работа техники'!AC628</f>
        <v>0337</v>
      </c>
      <c r="F690" s="645"/>
      <c r="G690" s="645"/>
      <c r="H690" s="645"/>
      <c r="I690" s="645"/>
      <c r="J690" s="645"/>
      <c r="K690" s="645"/>
      <c r="L690" s="645"/>
      <c r="M690" s="645"/>
      <c r="N690" s="645">
        <f>'19 работа техники'!AD628+'20 въезд-выезд авто'!AG530</f>
        <v>7.5600000000000001E-2</v>
      </c>
      <c r="O690" s="645">
        <f>'19 работа техники'!AE628+'20 въезд-выезд авто'!AH530</f>
        <v>0.1032</v>
      </c>
    </row>
    <row r="691" spans="2:15" ht="18.75" customHeight="1" x14ac:dyDescent="0.25">
      <c r="B691" s="998" t="s">
        <v>707</v>
      </c>
      <c r="C691" s="525" t="s">
        <v>704</v>
      </c>
      <c r="D691" s="626" t="str">
        <f>'19 работа техники'!AB630</f>
        <v>Азота диоксид</v>
      </c>
      <c r="E691" s="701" t="str">
        <f>'19 работа техники'!AC630</f>
        <v>0301</v>
      </c>
      <c r="F691" s="631"/>
      <c r="G691" s="631"/>
      <c r="H691" s="631"/>
      <c r="I691" s="631"/>
      <c r="J691" s="631"/>
      <c r="K691" s="631"/>
      <c r="L691" s="631">
        <f>'19 работа техники'!AD290+'20 въезд-выезд авто'!AG238</f>
        <v>0.04</v>
      </c>
      <c r="M691" s="631">
        <f>'19 работа техники'!AE290+'20 въезд-выезд авто'!AH238</f>
        <v>6.4199999999999993E-2</v>
      </c>
      <c r="N691" s="631">
        <f>'19 работа техники'!AD630+'20 въезд-выезд авто'!AG533</f>
        <v>0.04</v>
      </c>
      <c r="O691" s="631">
        <f>'19 работа техники'!AE630+'20 въезд-выезд авто'!AH533</f>
        <v>0.25650000000000001</v>
      </c>
    </row>
    <row r="692" spans="2:15" ht="18.75" customHeight="1" x14ac:dyDescent="0.25">
      <c r="B692" s="999"/>
      <c r="C692" s="528" t="s">
        <v>1203</v>
      </c>
      <c r="D692" s="633" t="str">
        <f>'19 работа техники'!AB631</f>
        <v>Азота оксид</v>
      </c>
      <c r="E692" s="702" t="str">
        <f>'19 работа техники'!AC631</f>
        <v>0304</v>
      </c>
      <c r="F692" s="638"/>
      <c r="G692" s="638"/>
      <c r="H692" s="638"/>
      <c r="I692" s="638"/>
      <c r="J692" s="638"/>
      <c r="K692" s="638"/>
      <c r="L692" s="638">
        <f>'19 работа техники'!AD291+'20 въезд-выезд авто'!AG239</f>
        <v>6.5000000000000006E-3</v>
      </c>
      <c r="M692" s="638">
        <f>'19 работа техники'!AE291+'20 въезд-выезд авто'!AH239</f>
        <v>1.0499999999999999E-2</v>
      </c>
      <c r="N692" s="638">
        <f>'19 работа техники'!AD631+'20 въезд-выезд авто'!AG534</f>
        <v>6.5000000000000006E-3</v>
      </c>
      <c r="O692" s="638">
        <f>'19 работа техники'!AE631+'20 въезд-выезд авто'!AH534</f>
        <v>4.1600000000000005E-2</v>
      </c>
    </row>
    <row r="693" spans="2:15" ht="18.75" customHeight="1" x14ac:dyDescent="0.25">
      <c r="B693" s="999"/>
      <c r="C693" s="528"/>
      <c r="D693" s="633" t="str">
        <f>'19 работа техники'!AB632</f>
        <v>Серы диоксид</v>
      </c>
      <c r="E693" s="702" t="str">
        <f>'19 работа техники'!AC632</f>
        <v>0330</v>
      </c>
      <c r="F693" s="638"/>
      <c r="G693" s="638"/>
      <c r="H693" s="638"/>
      <c r="I693" s="638"/>
      <c r="J693" s="638"/>
      <c r="K693" s="638"/>
      <c r="L693" s="638">
        <f>'19 работа техники'!AD292+'20 въезд-выезд авто'!AG240</f>
        <v>4.1999999999999997E-3</v>
      </c>
      <c r="M693" s="638">
        <f>'19 работа техники'!AE292+'20 въезд-выезд авто'!AH240</f>
        <v>7.5100000000000002E-3</v>
      </c>
      <c r="N693" s="638">
        <f>'19 работа техники'!AD632+'20 въезд-выезд авто'!AG535</f>
        <v>4.1999999999999997E-3</v>
      </c>
      <c r="O693" s="638">
        <f>'19 работа техники'!AE632+'20 въезд-выезд авто'!AH535</f>
        <v>2.7790000000000002E-2</v>
      </c>
    </row>
    <row r="694" spans="2:15" ht="18.75" customHeight="1" x14ac:dyDescent="0.25">
      <c r="B694" s="999"/>
      <c r="C694" s="528"/>
      <c r="D694" s="633" t="str">
        <f>'19 работа техники'!AB633</f>
        <v>Керосин</v>
      </c>
      <c r="E694" s="702" t="str">
        <f>'19 работа техники'!AC633</f>
        <v>2732</v>
      </c>
      <c r="F694" s="638"/>
      <c r="G694" s="638"/>
      <c r="H694" s="638"/>
      <c r="I694" s="638"/>
      <c r="J694" s="638"/>
      <c r="K694" s="638"/>
      <c r="L694" s="638">
        <f>'19 работа техники'!AD293+'20 въезд-выезд авто'!AG241</f>
        <v>1.4100000000000001E-2</v>
      </c>
      <c r="M694" s="638">
        <f>'19 работа техники'!AE293+'20 въезд-выезд авто'!AH241</f>
        <v>1.8200000000000001E-2</v>
      </c>
      <c r="N694" s="638">
        <f>'19 работа техники'!AD633+'20 въезд-выезд авто'!AG536</f>
        <v>1.4100000000000001E-2</v>
      </c>
      <c r="O694" s="638">
        <f>'19 работа техники'!AE633+'20 въезд-выезд авто'!AH536</f>
        <v>6.6099999999999992E-2</v>
      </c>
    </row>
    <row r="695" spans="2:15" ht="18.75" customHeight="1" x14ac:dyDescent="0.25">
      <c r="B695" s="999"/>
      <c r="C695" s="528"/>
      <c r="D695" s="633" t="str">
        <f>'19 работа техники'!AB634</f>
        <v xml:space="preserve">Углерод </v>
      </c>
      <c r="E695" s="702" t="str">
        <f>'19 работа техники'!AC634</f>
        <v>0328</v>
      </c>
      <c r="F695" s="638"/>
      <c r="G695" s="638"/>
      <c r="H695" s="638"/>
      <c r="I695" s="638"/>
      <c r="J695" s="638"/>
      <c r="K695" s="638"/>
      <c r="L695" s="638">
        <f>'19 работа техники'!AD294+'20 въезд-выезд авто'!AG243</f>
        <v>6.6E-3</v>
      </c>
      <c r="M695" s="638">
        <f>'19 работа техники'!AE294+'20 въезд-выезд авто'!AH243</f>
        <v>1.2529999999999999E-2</v>
      </c>
      <c r="N695" s="638">
        <f>'19 работа техники'!AD634+'20 въезд-выезд авто'!AG538</f>
        <v>6.6E-3</v>
      </c>
      <c r="O695" s="638">
        <f>'19 работа техники'!AE634+'20 въезд-выезд авто'!AH538</f>
        <v>4.2430000000000002E-2</v>
      </c>
    </row>
    <row r="696" spans="2:15" ht="18.75" customHeight="1" x14ac:dyDescent="0.25">
      <c r="B696" s="999"/>
      <c r="C696" s="529"/>
      <c r="D696" s="640" t="str">
        <f>'19 работа техники'!AB635</f>
        <v>Углерода оксид</v>
      </c>
      <c r="E696" s="703" t="str">
        <f>'19 работа техники'!AC635</f>
        <v>0337</v>
      </c>
      <c r="F696" s="645"/>
      <c r="G696" s="645"/>
      <c r="H696" s="645"/>
      <c r="I696" s="645"/>
      <c r="J696" s="645"/>
      <c r="K696" s="645"/>
      <c r="L696" s="645">
        <f>'19 работа техники'!AD295+'20 въезд-выезд авто'!AG242</f>
        <v>7.5600000000000001E-2</v>
      </c>
      <c r="M696" s="645">
        <f>'19 работа техники'!AE295+'20 въезд-выезд авто'!AH242</f>
        <v>7.0699999999999999E-2</v>
      </c>
      <c r="N696" s="645">
        <f>'19 работа техники'!AD635+'20 въезд-выезд авто'!AG537</f>
        <v>7.5600000000000001E-2</v>
      </c>
      <c r="O696" s="645">
        <f>'19 работа техники'!AE635+'20 въезд-выезд авто'!AH537</f>
        <v>0.24759999999999999</v>
      </c>
    </row>
    <row r="697" spans="2:15" ht="18.75" customHeight="1" x14ac:dyDescent="0.25">
      <c r="B697" s="998" t="s">
        <v>709</v>
      </c>
      <c r="C697" s="525" t="s">
        <v>705</v>
      </c>
      <c r="D697" s="626" t="str">
        <f>'19 работа техники'!AB637</f>
        <v>Азота диоксид</v>
      </c>
      <c r="E697" s="701" t="str">
        <f>'19 работа техники'!AC637</f>
        <v>0301</v>
      </c>
      <c r="F697" s="631"/>
      <c r="G697" s="631"/>
      <c r="H697" s="631"/>
      <c r="I697" s="631"/>
      <c r="J697" s="631"/>
      <c r="K697" s="631"/>
      <c r="L697" s="631">
        <f>'19 работа техники'!AD297+'20 въезд-выезд авто'!AG245</f>
        <v>0.04</v>
      </c>
      <c r="M697" s="631">
        <f>'19 работа техники'!AE297+'20 въезд-выезд авто'!AH245</f>
        <v>6.4199999999999993E-2</v>
      </c>
      <c r="N697" s="631">
        <f>'19 работа техники'!AD637+'20 въезд-выезд авто'!AG540</f>
        <v>0.04</v>
      </c>
      <c r="O697" s="631">
        <f>'19 работа техники'!AE637+'20 въезд-выезд авто'!AH540</f>
        <v>0.25650000000000001</v>
      </c>
    </row>
    <row r="698" spans="2:15" ht="18.75" customHeight="1" x14ac:dyDescent="0.25">
      <c r="B698" s="999"/>
      <c r="C698" s="528" t="s">
        <v>1203</v>
      </c>
      <c r="D698" s="633" t="str">
        <f>'19 работа техники'!AB638</f>
        <v>Азота оксид</v>
      </c>
      <c r="E698" s="702" t="str">
        <f>'19 работа техники'!AC638</f>
        <v>0304</v>
      </c>
      <c r="F698" s="638"/>
      <c r="G698" s="638"/>
      <c r="H698" s="638"/>
      <c r="I698" s="638"/>
      <c r="J698" s="638"/>
      <c r="K698" s="638"/>
      <c r="L698" s="638">
        <f>'19 работа техники'!AD298+'20 въезд-выезд авто'!AG246</f>
        <v>6.5000000000000006E-3</v>
      </c>
      <c r="M698" s="638">
        <f>'19 работа техники'!AE298+'20 въезд-выезд авто'!AH246</f>
        <v>1.0499999999999999E-2</v>
      </c>
      <c r="N698" s="638">
        <f>'19 работа техники'!AD638+'20 въезд-выезд авто'!AG541</f>
        <v>6.5000000000000006E-3</v>
      </c>
      <c r="O698" s="638">
        <f>'19 работа техники'!AE638+'20 въезд-выезд авто'!AH541</f>
        <v>4.1600000000000005E-2</v>
      </c>
    </row>
    <row r="699" spans="2:15" ht="18.75" customHeight="1" x14ac:dyDescent="0.25">
      <c r="B699" s="999"/>
      <c r="C699" s="528"/>
      <c r="D699" s="633" t="str">
        <f>'19 работа техники'!AB639</f>
        <v>Серы диоксид</v>
      </c>
      <c r="E699" s="702" t="str">
        <f>'19 работа техники'!AC639</f>
        <v>0330</v>
      </c>
      <c r="F699" s="638"/>
      <c r="G699" s="638"/>
      <c r="H699" s="638"/>
      <c r="I699" s="638"/>
      <c r="J699" s="638"/>
      <c r="K699" s="638"/>
      <c r="L699" s="638">
        <f>'19 работа техники'!AD299+'20 въезд-выезд авто'!AG247</f>
        <v>4.1999999999999997E-3</v>
      </c>
      <c r="M699" s="638">
        <f>'19 работа техники'!AE299+'20 въезд-выезд авто'!AH247</f>
        <v>7.5100000000000002E-3</v>
      </c>
      <c r="N699" s="638">
        <f>'19 работа техники'!AD639+'20 въезд-выезд авто'!AG542</f>
        <v>4.1999999999999997E-3</v>
      </c>
      <c r="O699" s="638">
        <f>'19 работа техники'!AE639+'20 въезд-выезд авто'!AH542</f>
        <v>2.7790000000000002E-2</v>
      </c>
    </row>
    <row r="700" spans="2:15" ht="18.75" customHeight="1" x14ac:dyDescent="0.25">
      <c r="B700" s="999"/>
      <c r="C700" s="528"/>
      <c r="D700" s="633" t="str">
        <f>'19 работа техники'!AB640</f>
        <v>Керосин</v>
      </c>
      <c r="E700" s="702" t="str">
        <f>'19 работа техники'!AC640</f>
        <v>2732</v>
      </c>
      <c r="F700" s="638"/>
      <c r="G700" s="638"/>
      <c r="H700" s="638"/>
      <c r="I700" s="638"/>
      <c r="J700" s="638"/>
      <c r="K700" s="638"/>
      <c r="L700" s="638">
        <f>'19 работа техники'!AD300+'20 въезд-выезд авто'!AG248</f>
        <v>1.4100000000000001E-2</v>
      </c>
      <c r="M700" s="638">
        <f>'19 работа техники'!AE300+'20 въезд-выезд авто'!AH248</f>
        <v>1.8200000000000001E-2</v>
      </c>
      <c r="N700" s="638">
        <f>'19 работа техники'!AD640+'20 въезд-выезд авто'!AG543</f>
        <v>1.4100000000000001E-2</v>
      </c>
      <c r="O700" s="638">
        <f>'19 работа техники'!AE640+'20 въезд-выезд авто'!AH543</f>
        <v>6.6099999999999992E-2</v>
      </c>
    </row>
    <row r="701" spans="2:15" ht="18.75" customHeight="1" x14ac:dyDescent="0.25">
      <c r="B701" s="999"/>
      <c r="C701" s="528"/>
      <c r="D701" s="633" t="str">
        <f>'19 работа техники'!AB641</f>
        <v xml:space="preserve">Углерод </v>
      </c>
      <c r="E701" s="702" t="str">
        <f>'19 работа техники'!AC641</f>
        <v>0328</v>
      </c>
      <c r="F701" s="638"/>
      <c r="G701" s="638"/>
      <c r="H701" s="638"/>
      <c r="I701" s="638"/>
      <c r="J701" s="638"/>
      <c r="K701" s="638"/>
      <c r="L701" s="638">
        <f>'19 работа техники'!AD301+'20 въезд-выезд авто'!AG250</f>
        <v>6.6E-3</v>
      </c>
      <c r="M701" s="638">
        <f>'19 работа техники'!AE301+'20 въезд-выезд авто'!AH250</f>
        <v>1.2529999999999999E-2</v>
      </c>
      <c r="N701" s="638">
        <f>'19 работа техники'!AD641+'20 въезд-выезд авто'!AG545</f>
        <v>6.6E-3</v>
      </c>
      <c r="O701" s="638">
        <f>'19 работа техники'!AE641+'20 въезд-выезд авто'!AH545</f>
        <v>4.2430000000000002E-2</v>
      </c>
    </row>
    <row r="702" spans="2:15" ht="18.75" customHeight="1" x14ac:dyDescent="0.25">
      <c r="B702" s="999"/>
      <c r="C702" s="529"/>
      <c r="D702" s="640" t="str">
        <f>'19 работа техники'!AB642</f>
        <v>Углерода оксид</v>
      </c>
      <c r="E702" s="703" t="str">
        <f>'19 работа техники'!AC642</f>
        <v>0337</v>
      </c>
      <c r="F702" s="645"/>
      <c r="G702" s="645"/>
      <c r="H702" s="645"/>
      <c r="I702" s="645"/>
      <c r="J702" s="645"/>
      <c r="K702" s="645"/>
      <c r="L702" s="645">
        <f>'19 работа техники'!AD302+'20 въезд-выезд авто'!AG249</f>
        <v>7.5600000000000001E-2</v>
      </c>
      <c r="M702" s="645">
        <f>'19 работа техники'!AE302+'20 въезд-выезд авто'!AH249</f>
        <v>7.0699999999999999E-2</v>
      </c>
      <c r="N702" s="645">
        <f>'19 работа техники'!AD642+'20 въезд-выезд авто'!AG544</f>
        <v>7.5600000000000001E-2</v>
      </c>
      <c r="O702" s="645">
        <f>'19 работа техники'!AE642+'20 въезд-выезд авто'!AH544</f>
        <v>0.24759999999999999</v>
      </c>
    </row>
    <row r="703" spans="2:15" ht="18.75" customHeight="1" x14ac:dyDescent="0.25">
      <c r="B703" s="998" t="s">
        <v>710</v>
      </c>
      <c r="C703" s="525" t="s">
        <v>706</v>
      </c>
      <c r="D703" s="626" t="str">
        <f>'19 работа техники'!AB644</f>
        <v>Азота диоксид</v>
      </c>
      <c r="E703" s="701" t="str">
        <f>'19 работа техники'!AC644</f>
        <v>0301</v>
      </c>
      <c r="F703" s="631"/>
      <c r="G703" s="631"/>
      <c r="H703" s="631"/>
      <c r="I703" s="631"/>
      <c r="J703" s="631"/>
      <c r="K703" s="631"/>
      <c r="L703" s="631"/>
      <c r="M703" s="631"/>
      <c r="N703" s="631">
        <f>'19 работа техники'!AD644+'20 въезд-выезд авто'!AG547</f>
        <v>0.04</v>
      </c>
      <c r="O703" s="631">
        <f>'19 работа техники'!AE644+'20 въезд-выезд авто'!AH547</f>
        <v>0.12</v>
      </c>
    </row>
    <row r="704" spans="2:15" ht="18.75" customHeight="1" x14ac:dyDescent="0.25">
      <c r="B704" s="999"/>
      <c r="C704" s="528" t="s">
        <v>1203</v>
      </c>
      <c r="D704" s="633" t="str">
        <f>'19 работа техники'!AB645</f>
        <v>Азота оксид</v>
      </c>
      <c r="E704" s="702" t="str">
        <f>'19 работа техники'!AC645</f>
        <v>0304</v>
      </c>
      <c r="F704" s="638"/>
      <c r="G704" s="638"/>
      <c r="H704" s="638"/>
      <c r="I704" s="638"/>
      <c r="J704" s="638"/>
      <c r="K704" s="638"/>
      <c r="L704" s="638"/>
      <c r="M704" s="638"/>
      <c r="N704" s="638">
        <f>'19 работа техники'!AD645+'20 въезд-выезд авто'!AG548</f>
        <v>6.5000000000000006E-3</v>
      </c>
      <c r="O704" s="638">
        <f>'19 работа техники'!AE645+'20 въезд-выезд авто'!AH548</f>
        <v>1.95E-2</v>
      </c>
    </row>
    <row r="705" spans="2:15" ht="18.75" customHeight="1" x14ac:dyDescent="0.25">
      <c r="B705" s="999"/>
      <c r="C705" s="528"/>
      <c r="D705" s="633" t="str">
        <f>'19 работа техники'!AB646</f>
        <v>Серы диоксид</v>
      </c>
      <c r="E705" s="702" t="str">
        <f>'19 работа техники'!AC646</f>
        <v>0330</v>
      </c>
      <c r="F705" s="638"/>
      <c r="G705" s="638"/>
      <c r="H705" s="638"/>
      <c r="I705" s="638"/>
      <c r="J705" s="638"/>
      <c r="K705" s="638"/>
      <c r="L705" s="638"/>
      <c r="M705" s="638"/>
      <c r="N705" s="638">
        <f>'19 работа техники'!AD646+'20 въезд-выезд авто'!AG549</f>
        <v>4.1999999999999997E-3</v>
      </c>
      <c r="O705" s="638">
        <f>'19 работа техники'!AE646+'20 въезд-выезд авто'!AH549</f>
        <v>1.221E-2</v>
      </c>
    </row>
    <row r="706" spans="2:15" ht="18.75" customHeight="1" x14ac:dyDescent="0.25">
      <c r="B706" s="999"/>
      <c r="C706" s="528"/>
      <c r="D706" s="633" t="str">
        <f>'19 работа техники'!AB647</f>
        <v>Керосин</v>
      </c>
      <c r="E706" s="702" t="str">
        <f>'19 работа техники'!AC647</f>
        <v>2732</v>
      </c>
      <c r="F706" s="638"/>
      <c r="G706" s="638"/>
      <c r="H706" s="638"/>
      <c r="I706" s="638"/>
      <c r="J706" s="638"/>
      <c r="K706" s="638"/>
      <c r="L706" s="638"/>
      <c r="M706" s="638"/>
      <c r="N706" s="638">
        <f>'19 работа техники'!AD647+'20 въезд-выезд авто'!AG550</f>
        <v>1.4100000000000001E-2</v>
      </c>
      <c r="O706" s="638">
        <f>'19 работа техники'!AE647+'20 въезд-выезд авто'!AH550</f>
        <v>2.86E-2</v>
      </c>
    </row>
    <row r="707" spans="2:15" ht="18.75" customHeight="1" x14ac:dyDescent="0.25">
      <c r="B707" s="999"/>
      <c r="C707" s="528"/>
      <c r="D707" s="633" t="str">
        <f>'19 работа техники'!AB648</f>
        <v xml:space="preserve">Углерод </v>
      </c>
      <c r="E707" s="702" t="str">
        <f>'19 работа техники'!AC648</f>
        <v>0328</v>
      </c>
      <c r="F707" s="638"/>
      <c r="G707" s="638"/>
      <c r="H707" s="638"/>
      <c r="I707" s="638"/>
      <c r="J707" s="638"/>
      <c r="K707" s="638"/>
      <c r="L707" s="638"/>
      <c r="M707" s="638"/>
      <c r="N707" s="638">
        <f>'19 работа техники'!AD648+'20 въезд-выезд авто'!AG552</f>
        <v>6.6E-3</v>
      </c>
      <c r="O707" s="638">
        <f>'19 работа техники'!AE648+'20 въезд-выезд авто'!AH552</f>
        <v>1.644E-2</v>
      </c>
    </row>
    <row r="708" spans="2:15" ht="18.75" customHeight="1" x14ac:dyDescent="0.25">
      <c r="B708" s="999"/>
      <c r="C708" s="529"/>
      <c r="D708" s="640" t="str">
        <f>'19 работа техники'!AB649</f>
        <v>Углерода оксид</v>
      </c>
      <c r="E708" s="703" t="str">
        <f>'19 работа техники'!AC649</f>
        <v>0337</v>
      </c>
      <c r="F708" s="645"/>
      <c r="G708" s="645"/>
      <c r="H708" s="645"/>
      <c r="I708" s="645"/>
      <c r="J708" s="645"/>
      <c r="K708" s="645"/>
      <c r="L708" s="645"/>
      <c r="M708" s="645"/>
      <c r="N708" s="645">
        <f>'19 работа техники'!AD649+'20 въезд-выезд авто'!AG551</f>
        <v>7.5600000000000001E-2</v>
      </c>
      <c r="O708" s="645">
        <f>'19 работа техники'!AE649+'20 въезд-выезд авто'!AH551</f>
        <v>0.1032</v>
      </c>
    </row>
    <row r="709" spans="2:15" ht="18.75" customHeight="1" x14ac:dyDescent="0.25">
      <c r="B709" s="998" t="s">
        <v>711</v>
      </c>
      <c r="C709" s="525" t="s">
        <v>708</v>
      </c>
      <c r="D709" s="626" t="str">
        <f>'19 работа техники'!AB651</f>
        <v>Азота диоксид</v>
      </c>
      <c r="E709" s="701" t="str">
        <f>'19 работа техники'!AC651</f>
        <v>0301</v>
      </c>
      <c r="F709" s="631"/>
      <c r="G709" s="631"/>
      <c r="H709" s="631"/>
      <c r="I709" s="631"/>
      <c r="J709" s="631"/>
      <c r="K709" s="631"/>
      <c r="L709" s="631"/>
      <c r="M709" s="631"/>
      <c r="N709" s="631">
        <f>'19 работа техники'!AD651+'20 въезд-выезд авто'!AG554</f>
        <v>0.04</v>
      </c>
      <c r="O709" s="631">
        <f>'19 работа техники'!AE651+'20 въезд-выезд авто'!AH554</f>
        <v>0.12</v>
      </c>
    </row>
    <row r="710" spans="2:15" ht="18.75" customHeight="1" x14ac:dyDescent="0.25">
      <c r="B710" s="999"/>
      <c r="C710" s="528" t="s">
        <v>1203</v>
      </c>
      <c r="D710" s="633" t="str">
        <f>'19 работа техники'!AB652</f>
        <v>Азота оксид</v>
      </c>
      <c r="E710" s="702" t="str">
        <f>'19 работа техники'!AC652</f>
        <v>0304</v>
      </c>
      <c r="F710" s="638"/>
      <c r="G710" s="638"/>
      <c r="H710" s="638"/>
      <c r="I710" s="638"/>
      <c r="J710" s="638"/>
      <c r="K710" s="638"/>
      <c r="L710" s="638"/>
      <c r="M710" s="638"/>
      <c r="N710" s="638">
        <f>'19 работа техники'!AD652+'20 въезд-выезд авто'!AG555</f>
        <v>6.5000000000000006E-3</v>
      </c>
      <c r="O710" s="638">
        <f>'19 работа техники'!AE652+'20 въезд-выезд авто'!AH555</f>
        <v>1.95E-2</v>
      </c>
    </row>
    <row r="711" spans="2:15" ht="18.75" customHeight="1" x14ac:dyDescent="0.25">
      <c r="B711" s="999"/>
      <c r="C711" s="528"/>
      <c r="D711" s="633" t="str">
        <f>'19 работа техники'!AB653</f>
        <v>Серы диоксид</v>
      </c>
      <c r="E711" s="702" t="str">
        <f>'19 работа техники'!AC653</f>
        <v>0330</v>
      </c>
      <c r="F711" s="638"/>
      <c r="G711" s="638"/>
      <c r="H711" s="638"/>
      <c r="I711" s="638"/>
      <c r="J711" s="638"/>
      <c r="K711" s="638"/>
      <c r="L711" s="638"/>
      <c r="M711" s="638"/>
      <c r="N711" s="638">
        <f>'19 работа техники'!AD653+'20 въезд-выезд авто'!AG556</f>
        <v>4.1999999999999997E-3</v>
      </c>
      <c r="O711" s="638">
        <f>'19 работа техники'!AE653+'20 въезд-выезд авто'!AH556</f>
        <v>1.221E-2</v>
      </c>
    </row>
    <row r="712" spans="2:15" ht="18.75" customHeight="1" x14ac:dyDescent="0.25">
      <c r="B712" s="999"/>
      <c r="C712" s="528"/>
      <c r="D712" s="633" t="str">
        <f>'19 работа техники'!AB654</f>
        <v>Керосин</v>
      </c>
      <c r="E712" s="702" t="str">
        <f>'19 работа техники'!AC654</f>
        <v>2732</v>
      </c>
      <c r="F712" s="638"/>
      <c r="G712" s="638"/>
      <c r="H712" s="638"/>
      <c r="I712" s="638"/>
      <c r="J712" s="638"/>
      <c r="K712" s="638"/>
      <c r="L712" s="638"/>
      <c r="M712" s="638"/>
      <c r="N712" s="638">
        <f>'19 работа техники'!AD654+'20 въезд-выезд авто'!AG557</f>
        <v>1.4100000000000001E-2</v>
      </c>
      <c r="O712" s="638">
        <f>'19 работа техники'!AE654+'20 въезд-выезд авто'!AH557</f>
        <v>2.86E-2</v>
      </c>
    </row>
    <row r="713" spans="2:15" ht="18.75" customHeight="1" x14ac:dyDescent="0.25">
      <c r="B713" s="999"/>
      <c r="C713" s="528"/>
      <c r="D713" s="633" t="str">
        <f>'19 работа техники'!AB655</f>
        <v xml:space="preserve">Углерод </v>
      </c>
      <c r="E713" s="702" t="str">
        <f>'19 работа техники'!AC655</f>
        <v>0328</v>
      </c>
      <c r="F713" s="638"/>
      <c r="G713" s="638"/>
      <c r="H713" s="638"/>
      <c r="I713" s="638"/>
      <c r="J713" s="638"/>
      <c r="K713" s="638"/>
      <c r="L713" s="638"/>
      <c r="M713" s="638"/>
      <c r="N713" s="638">
        <f>'19 работа техники'!AD655+'20 въезд-выезд авто'!AG559</f>
        <v>6.6E-3</v>
      </c>
      <c r="O713" s="638">
        <f>'19 работа техники'!AE655+'20 въезд-выезд авто'!AH559</f>
        <v>1.644E-2</v>
      </c>
    </row>
    <row r="714" spans="2:15" ht="18.75" customHeight="1" x14ac:dyDescent="0.25">
      <c r="B714" s="999"/>
      <c r="C714" s="529"/>
      <c r="D714" s="640" t="str">
        <f>'19 работа техники'!AB656</f>
        <v>Углерода оксид</v>
      </c>
      <c r="E714" s="703" t="str">
        <f>'19 работа техники'!AC656</f>
        <v>0337</v>
      </c>
      <c r="F714" s="645"/>
      <c r="G714" s="645"/>
      <c r="H714" s="645"/>
      <c r="I714" s="645"/>
      <c r="J714" s="645"/>
      <c r="K714" s="645"/>
      <c r="L714" s="645"/>
      <c r="M714" s="645"/>
      <c r="N714" s="645">
        <f>'19 работа техники'!AD656+'20 въезд-выезд авто'!AG558</f>
        <v>7.5600000000000001E-2</v>
      </c>
      <c r="O714" s="645">
        <f>'19 работа техники'!AE656+'20 въезд-выезд авто'!AH558</f>
        <v>0.1032</v>
      </c>
    </row>
    <row r="715" spans="2:15" ht="19.5" customHeight="1" x14ac:dyDescent="0.25">
      <c r="B715" s="998" t="s">
        <v>712</v>
      </c>
      <c r="C715" s="525" t="s">
        <v>759</v>
      </c>
      <c r="D715" s="626" t="str">
        <f>'19 работа техники'!AB658</f>
        <v>Азота диоксид</v>
      </c>
      <c r="E715" s="701" t="str">
        <f>'19 работа техники'!AC658</f>
        <v>0301</v>
      </c>
      <c r="F715" s="631"/>
      <c r="G715" s="631"/>
      <c r="H715" s="631"/>
      <c r="I715" s="631"/>
      <c r="J715" s="631"/>
      <c r="K715" s="631"/>
      <c r="L715" s="631">
        <f>'19 работа техники'!AD304+'20 въезд-выезд авто'!AG252</f>
        <v>0.04</v>
      </c>
      <c r="M715" s="631">
        <f>'19 работа техники'!AE304+'20 въезд-выезд авто'!AH252</f>
        <v>6.4199999999999993E-2</v>
      </c>
      <c r="N715" s="631">
        <f>'19 работа техники'!AD658+'20 въезд-выезд авто'!AG561</f>
        <v>0.04</v>
      </c>
      <c r="O715" s="631">
        <f>'19 работа техники'!AE658+'20 въезд-выезд авто'!AH561</f>
        <v>0.25650000000000001</v>
      </c>
    </row>
    <row r="716" spans="2:15" ht="19.5" customHeight="1" x14ac:dyDescent="0.25">
      <c r="B716" s="999"/>
      <c r="C716" s="528" t="s">
        <v>1203</v>
      </c>
      <c r="D716" s="633" t="str">
        <f>'19 работа техники'!AB659</f>
        <v>Азота оксид</v>
      </c>
      <c r="E716" s="702" t="str">
        <f>'19 работа техники'!AC659</f>
        <v>0304</v>
      </c>
      <c r="F716" s="638"/>
      <c r="G716" s="638"/>
      <c r="H716" s="638"/>
      <c r="I716" s="638"/>
      <c r="J716" s="638"/>
      <c r="K716" s="638"/>
      <c r="L716" s="638">
        <f>'19 работа техники'!AD305+'20 въезд-выезд авто'!AG253</f>
        <v>6.5000000000000006E-3</v>
      </c>
      <c r="M716" s="638">
        <f>'19 работа техники'!AE305+'20 въезд-выезд авто'!AH253</f>
        <v>1.0499999999999999E-2</v>
      </c>
      <c r="N716" s="638">
        <f>'19 работа техники'!AD659+'20 въезд-выезд авто'!AG562</f>
        <v>6.5000000000000006E-3</v>
      </c>
      <c r="O716" s="638">
        <f>'19 работа техники'!AE659+'20 въезд-выезд авто'!AH562</f>
        <v>4.1600000000000005E-2</v>
      </c>
    </row>
    <row r="717" spans="2:15" ht="19.5" customHeight="1" x14ac:dyDescent="0.25">
      <c r="B717" s="999"/>
      <c r="C717" s="528"/>
      <c r="D717" s="633" t="str">
        <f>'19 работа техники'!AB660</f>
        <v>Серы диоксид</v>
      </c>
      <c r="E717" s="702" t="str">
        <f>'19 работа техники'!AC660</f>
        <v>0330</v>
      </c>
      <c r="F717" s="638"/>
      <c r="G717" s="638"/>
      <c r="H717" s="638"/>
      <c r="I717" s="638"/>
      <c r="J717" s="638"/>
      <c r="K717" s="638"/>
      <c r="L717" s="638">
        <f>'19 работа техники'!AD306+'20 въезд-выезд авто'!AG254</f>
        <v>4.1999999999999997E-3</v>
      </c>
      <c r="M717" s="638">
        <f>'19 работа техники'!AE306+'20 въезд-выезд авто'!AH254</f>
        <v>7.5100000000000002E-3</v>
      </c>
      <c r="N717" s="638">
        <f>'19 работа техники'!AD660+'20 въезд-выезд авто'!AG563</f>
        <v>4.1999999999999997E-3</v>
      </c>
      <c r="O717" s="638">
        <f>'19 работа техники'!AE660+'20 въезд-выезд авто'!AH563</f>
        <v>2.7790000000000002E-2</v>
      </c>
    </row>
    <row r="718" spans="2:15" ht="19.5" customHeight="1" x14ac:dyDescent="0.25">
      <c r="B718" s="999"/>
      <c r="C718" s="528"/>
      <c r="D718" s="633" t="str">
        <f>'19 работа техники'!AB661</f>
        <v>Керосин</v>
      </c>
      <c r="E718" s="702" t="str">
        <f>'19 работа техники'!AC661</f>
        <v>2732</v>
      </c>
      <c r="F718" s="638"/>
      <c r="G718" s="638"/>
      <c r="H718" s="638"/>
      <c r="I718" s="638"/>
      <c r="J718" s="638"/>
      <c r="K718" s="638"/>
      <c r="L718" s="638">
        <f>'19 работа техники'!AD307+'20 въезд-выезд авто'!AG255</f>
        <v>1.4100000000000001E-2</v>
      </c>
      <c r="M718" s="638">
        <f>'19 работа техники'!AE307+'20 въезд-выезд авто'!AH255</f>
        <v>1.8200000000000001E-2</v>
      </c>
      <c r="N718" s="638">
        <f>'19 работа техники'!AD661+'20 въезд-выезд авто'!AG564</f>
        <v>1.4100000000000001E-2</v>
      </c>
      <c r="O718" s="638">
        <f>'19 работа техники'!AE661+'20 въезд-выезд авто'!AH564</f>
        <v>6.6099999999999992E-2</v>
      </c>
    </row>
    <row r="719" spans="2:15" ht="19.5" customHeight="1" x14ac:dyDescent="0.25">
      <c r="B719" s="999"/>
      <c r="C719" s="528"/>
      <c r="D719" s="633" t="str">
        <f>'19 работа техники'!AB662</f>
        <v xml:space="preserve">Углерод </v>
      </c>
      <c r="E719" s="702" t="str">
        <f>'19 работа техники'!AC662</f>
        <v>0328</v>
      </c>
      <c r="F719" s="638"/>
      <c r="G719" s="638"/>
      <c r="H719" s="638"/>
      <c r="I719" s="638"/>
      <c r="J719" s="638"/>
      <c r="K719" s="638"/>
      <c r="L719" s="638">
        <f>'19 работа техники'!AD308+'20 въезд-выезд авто'!AG257</f>
        <v>6.6E-3</v>
      </c>
      <c r="M719" s="638">
        <f>'19 работа техники'!AE308+'20 въезд-выезд авто'!AH257</f>
        <v>1.2529999999999999E-2</v>
      </c>
      <c r="N719" s="638">
        <f>'19 работа техники'!AD662+'20 въезд-выезд авто'!AG566</f>
        <v>6.6E-3</v>
      </c>
      <c r="O719" s="638">
        <f>'19 работа техники'!AE662+'20 въезд-выезд авто'!AH566</f>
        <v>4.2430000000000002E-2</v>
      </c>
    </row>
    <row r="720" spans="2:15" ht="19.5" customHeight="1" x14ac:dyDescent="0.25">
      <c r="B720" s="999"/>
      <c r="C720" s="529"/>
      <c r="D720" s="640" t="str">
        <f>'19 работа техники'!AB663</f>
        <v>Углерода оксид</v>
      </c>
      <c r="E720" s="703" t="str">
        <f>'19 работа техники'!AC663</f>
        <v>0337</v>
      </c>
      <c r="F720" s="645"/>
      <c r="G720" s="645"/>
      <c r="H720" s="645"/>
      <c r="I720" s="645"/>
      <c r="J720" s="645"/>
      <c r="K720" s="645"/>
      <c r="L720" s="645">
        <f>'19 работа техники'!AD309+'20 въезд-выезд авто'!AG256</f>
        <v>7.5600000000000001E-2</v>
      </c>
      <c r="M720" s="645">
        <f>'19 работа техники'!AE309+'20 въезд-выезд авто'!AH256</f>
        <v>7.0699999999999999E-2</v>
      </c>
      <c r="N720" s="645">
        <f>'19 работа техники'!AD663+'20 въезд-выезд авто'!AG565</f>
        <v>7.5600000000000001E-2</v>
      </c>
      <c r="O720" s="645">
        <f>'19 работа техники'!AE663+'20 въезд-выезд авто'!AH565</f>
        <v>0.24759999999999999</v>
      </c>
    </row>
    <row r="721" spans="2:15" ht="19.5" customHeight="1" x14ac:dyDescent="0.25">
      <c r="B721" s="998" t="s">
        <v>713</v>
      </c>
      <c r="C721" s="525" t="s">
        <v>760</v>
      </c>
      <c r="D721" s="626" t="str">
        <f>'19 работа техники'!AB665</f>
        <v>Азота диоксид</v>
      </c>
      <c r="E721" s="701" t="str">
        <f>'19 работа техники'!AC665</f>
        <v>0301</v>
      </c>
      <c r="F721" s="631"/>
      <c r="G721" s="631"/>
      <c r="H721" s="631"/>
      <c r="I721" s="631"/>
      <c r="J721" s="631"/>
      <c r="K721" s="631"/>
      <c r="L721" s="631">
        <f>'19 работа техники'!AD311+'20 въезд-выезд авто'!AG259</f>
        <v>0.04</v>
      </c>
      <c r="M721" s="631">
        <f>'19 работа техники'!AE311+'20 въезд-выезд авто'!AH259</f>
        <v>6.4199999999999993E-2</v>
      </c>
      <c r="N721" s="631">
        <f>'19 работа техники'!AD665+'20 въезд-выезд авто'!AG568</f>
        <v>0.04</v>
      </c>
      <c r="O721" s="631">
        <f>'19 работа техники'!AE665+'20 въезд-выезд авто'!AH568</f>
        <v>0.25650000000000001</v>
      </c>
    </row>
    <row r="722" spans="2:15" ht="19.5" customHeight="1" x14ac:dyDescent="0.25">
      <c r="B722" s="999"/>
      <c r="C722" s="528" t="s">
        <v>1203</v>
      </c>
      <c r="D722" s="633" t="str">
        <f>'19 работа техники'!AB666</f>
        <v>Азота оксид</v>
      </c>
      <c r="E722" s="702" t="str">
        <f>'19 работа техники'!AC666</f>
        <v>0304</v>
      </c>
      <c r="F722" s="638"/>
      <c r="G722" s="638"/>
      <c r="H722" s="638"/>
      <c r="I722" s="638"/>
      <c r="J722" s="638"/>
      <c r="K722" s="638"/>
      <c r="L722" s="638">
        <f>'19 работа техники'!AD312+'20 въезд-выезд авто'!AG260</f>
        <v>6.5000000000000006E-3</v>
      </c>
      <c r="M722" s="638">
        <f>'19 работа техники'!AE312+'20 въезд-выезд авто'!AH260</f>
        <v>1.0499999999999999E-2</v>
      </c>
      <c r="N722" s="638">
        <f>'19 работа техники'!AD666+'20 въезд-выезд авто'!AG569</f>
        <v>6.5000000000000006E-3</v>
      </c>
      <c r="O722" s="638">
        <f>'19 работа техники'!AE666+'20 въезд-выезд авто'!AH569</f>
        <v>4.1600000000000005E-2</v>
      </c>
    </row>
    <row r="723" spans="2:15" ht="19.5" customHeight="1" x14ac:dyDescent="0.25">
      <c r="B723" s="999"/>
      <c r="C723" s="528"/>
      <c r="D723" s="633" t="str">
        <f>'19 работа техники'!AB667</f>
        <v>Серы диоксид</v>
      </c>
      <c r="E723" s="702" t="str">
        <f>'19 работа техники'!AC667</f>
        <v>0330</v>
      </c>
      <c r="F723" s="638"/>
      <c r="G723" s="638"/>
      <c r="H723" s="638"/>
      <c r="I723" s="638"/>
      <c r="J723" s="638"/>
      <c r="K723" s="638"/>
      <c r="L723" s="638">
        <f>'19 работа техники'!AD313+'20 въезд-выезд авто'!AG261</f>
        <v>4.1999999999999997E-3</v>
      </c>
      <c r="M723" s="638">
        <f>'19 работа техники'!AE313+'20 въезд-выезд авто'!AH261</f>
        <v>7.5100000000000002E-3</v>
      </c>
      <c r="N723" s="638">
        <f>'19 работа техники'!AD667+'20 въезд-выезд авто'!AG570</f>
        <v>4.1999999999999997E-3</v>
      </c>
      <c r="O723" s="638">
        <f>'19 работа техники'!AE667+'20 въезд-выезд авто'!AH570</f>
        <v>2.7790000000000002E-2</v>
      </c>
    </row>
    <row r="724" spans="2:15" ht="19.5" customHeight="1" x14ac:dyDescent="0.25">
      <c r="B724" s="999"/>
      <c r="C724" s="528"/>
      <c r="D724" s="633" t="str">
        <f>'19 работа техники'!AB668</f>
        <v>Керосин</v>
      </c>
      <c r="E724" s="702" t="str">
        <f>'19 работа техники'!AC668</f>
        <v>2732</v>
      </c>
      <c r="F724" s="638"/>
      <c r="G724" s="638"/>
      <c r="H724" s="638"/>
      <c r="I724" s="638"/>
      <c r="J724" s="638"/>
      <c r="K724" s="638"/>
      <c r="L724" s="638">
        <f>'19 работа техники'!AD314+'20 въезд-выезд авто'!AG262</f>
        <v>1.4100000000000001E-2</v>
      </c>
      <c r="M724" s="638">
        <f>'19 работа техники'!AE314+'20 въезд-выезд авто'!AH262</f>
        <v>1.8200000000000001E-2</v>
      </c>
      <c r="N724" s="638">
        <f>'19 работа техники'!AD668+'20 въезд-выезд авто'!AG571</f>
        <v>1.4100000000000001E-2</v>
      </c>
      <c r="O724" s="638">
        <f>'19 работа техники'!AE668+'20 въезд-выезд авто'!AH571</f>
        <v>6.6099999999999992E-2</v>
      </c>
    </row>
    <row r="725" spans="2:15" ht="19.5" customHeight="1" x14ac:dyDescent="0.25">
      <c r="B725" s="999"/>
      <c r="C725" s="528"/>
      <c r="D725" s="633" t="str">
        <f>'19 работа техники'!AB669</f>
        <v xml:space="preserve">Углерод </v>
      </c>
      <c r="E725" s="702" t="str">
        <f>'19 работа техники'!AC669</f>
        <v>0328</v>
      </c>
      <c r="F725" s="638"/>
      <c r="G725" s="638"/>
      <c r="H725" s="638"/>
      <c r="I725" s="638"/>
      <c r="J725" s="638"/>
      <c r="K725" s="638"/>
      <c r="L725" s="638">
        <f>'19 работа техники'!AD315+'20 въезд-выезд авто'!AG264</f>
        <v>6.6E-3</v>
      </c>
      <c r="M725" s="638">
        <f>'19 работа техники'!AE315+'20 въезд-выезд авто'!AH264</f>
        <v>1.2529999999999999E-2</v>
      </c>
      <c r="N725" s="638">
        <f>'19 работа техники'!AD669+'20 въезд-выезд авто'!AG573</f>
        <v>6.6E-3</v>
      </c>
      <c r="O725" s="638">
        <f>'19 работа техники'!AE669+'20 въезд-выезд авто'!AH573</f>
        <v>4.2430000000000002E-2</v>
      </c>
    </row>
    <row r="726" spans="2:15" ht="19.5" customHeight="1" x14ac:dyDescent="0.25">
      <c r="B726" s="999"/>
      <c r="C726" s="529"/>
      <c r="D726" s="640" t="str">
        <f>'19 работа техники'!AB670</f>
        <v>Углерода оксид</v>
      </c>
      <c r="E726" s="703" t="str">
        <f>'19 работа техники'!AC670</f>
        <v>0337</v>
      </c>
      <c r="F726" s="645"/>
      <c r="G726" s="645"/>
      <c r="H726" s="645"/>
      <c r="I726" s="645"/>
      <c r="J726" s="645"/>
      <c r="K726" s="645"/>
      <c r="L726" s="645">
        <f>'19 работа техники'!AD316+'20 въезд-выезд авто'!AG263</f>
        <v>7.5600000000000001E-2</v>
      </c>
      <c r="M726" s="645">
        <f>'19 работа техники'!AE316+'20 въезд-выезд авто'!AH263</f>
        <v>7.0699999999999999E-2</v>
      </c>
      <c r="N726" s="645">
        <f>'19 работа техники'!AD670+'20 въезд-выезд авто'!AG572</f>
        <v>7.5600000000000001E-2</v>
      </c>
      <c r="O726" s="645">
        <f>'19 работа техники'!AE670+'20 въезд-выезд авто'!AH572</f>
        <v>0.24759999999999999</v>
      </c>
    </row>
    <row r="727" spans="2:15" ht="19.5" customHeight="1" x14ac:dyDescent="0.25">
      <c r="B727" s="998" t="s">
        <v>714</v>
      </c>
      <c r="C727" s="525" t="s">
        <v>1019</v>
      </c>
      <c r="D727" s="626" t="str">
        <f>'19 работа техники'!AB672</f>
        <v>Азота диоксид</v>
      </c>
      <c r="E727" s="701" t="str">
        <f>'19 работа техники'!AC672</f>
        <v>0301</v>
      </c>
      <c r="F727" s="631"/>
      <c r="G727" s="631"/>
      <c r="H727" s="631"/>
      <c r="I727" s="631"/>
      <c r="J727" s="631"/>
      <c r="K727" s="631"/>
      <c r="L727" s="631"/>
      <c r="M727" s="631"/>
      <c r="N727" s="631">
        <f>'19 работа техники'!AD672+'20 въезд-выезд авто'!AG575</f>
        <v>0.04</v>
      </c>
      <c r="O727" s="631">
        <f>'19 работа техники'!AE672+'20 въезд-выезд авто'!AH575</f>
        <v>0.12</v>
      </c>
    </row>
    <row r="728" spans="2:15" ht="19.5" customHeight="1" x14ac:dyDescent="0.25">
      <c r="B728" s="999"/>
      <c r="C728" s="528" t="s">
        <v>166</v>
      </c>
      <c r="D728" s="633" t="str">
        <f>'19 работа техники'!AB673</f>
        <v>Азота оксид</v>
      </c>
      <c r="E728" s="702" t="str">
        <f>'19 работа техники'!AC673</f>
        <v>0304</v>
      </c>
      <c r="F728" s="638"/>
      <c r="G728" s="638"/>
      <c r="H728" s="638"/>
      <c r="I728" s="638"/>
      <c r="J728" s="638"/>
      <c r="K728" s="638"/>
      <c r="L728" s="638"/>
      <c r="M728" s="638"/>
      <c r="N728" s="638">
        <f>'19 работа техники'!AD673+'20 въезд-выезд авто'!AG576</f>
        <v>6.5000000000000006E-3</v>
      </c>
      <c r="O728" s="638">
        <f>'19 работа техники'!AE673+'20 въезд-выезд авто'!AH576</f>
        <v>1.95E-2</v>
      </c>
    </row>
    <row r="729" spans="2:15" ht="19.5" customHeight="1" x14ac:dyDescent="0.25">
      <c r="B729" s="999"/>
      <c r="C729" s="528"/>
      <c r="D729" s="633" t="str">
        <f>'19 работа техники'!AB674</f>
        <v>Серы диоксид</v>
      </c>
      <c r="E729" s="702" t="str">
        <f>'19 работа техники'!AC674</f>
        <v>0330</v>
      </c>
      <c r="F729" s="638"/>
      <c r="G729" s="638"/>
      <c r="H729" s="638"/>
      <c r="I729" s="638"/>
      <c r="J729" s="638"/>
      <c r="K729" s="638"/>
      <c r="L729" s="638"/>
      <c r="M729" s="638"/>
      <c r="N729" s="638">
        <f>'19 работа техники'!AD674+'20 въезд-выезд авто'!AG577</f>
        <v>4.1999999999999997E-3</v>
      </c>
      <c r="O729" s="638">
        <f>'19 работа техники'!AE674+'20 въезд-выезд авто'!AH577</f>
        <v>1.221E-2</v>
      </c>
    </row>
    <row r="730" spans="2:15" ht="19.5" customHeight="1" x14ac:dyDescent="0.25">
      <c r="B730" s="999"/>
      <c r="C730" s="528"/>
      <c r="D730" s="633" t="str">
        <f>'19 работа техники'!AB675</f>
        <v>Керосин</v>
      </c>
      <c r="E730" s="702" t="str">
        <f>'19 работа техники'!AC675</f>
        <v>2732</v>
      </c>
      <c r="F730" s="638"/>
      <c r="G730" s="638"/>
      <c r="H730" s="638"/>
      <c r="I730" s="638"/>
      <c r="J730" s="638"/>
      <c r="K730" s="638"/>
      <c r="L730" s="638"/>
      <c r="M730" s="638"/>
      <c r="N730" s="638">
        <f>'19 работа техники'!AD675+'20 въезд-выезд авто'!AG578</f>
        <v>1.4100000000000001E-2</v>
      </c>
      <c r="O730" s="638">
        <f>'19 работа техники'!AE675+'20 въезд-выезд авто'!AH578</f>
        <v>2.86E-2</v>
      </c>
    </row>
    <row r="731" spans="2:15" ht="19.5" customHeight="1" x14ac:dyDescent="0.25">
      <c r="B731" s="999"/>
      <c r="C731" s="528"/>
      <c r="D731" s="633" t="str">
        <f>'19 работа техники'!AB676</f>
        <v xml:space="preserve">Углерод </v>
      </c>
      <c r="E731" s="702" t="str">
        <f>'19 работа техники'!AC676</f>
        <v>0328</v>
      </c>
      <c r="F731" s="638"/>
      <c r="G731" s="638"/>
      <c r="H731" s="638"/>
      <c r="I731" s="638"/>
      <c r="J731" s="638"/>
      <c r="K731" s="638"/>
      <c r="L731" s="638"/>
      <c r="M731" s="638"/>
      <c r="N731" s="638">
        <f>'19 работа техники'!AD676+'20 въезд-выезд авто'!AG580</f>
        <v>6.6E-3</v>
      </c>
      <c r="O731" s="638">
        <f>'19 работа техники'!AE676+'20 въезд-выезд авто'!AH580</f>
        <v>1.644E-2</v>
      </c>
    </row>
    <row r="732" spans="2:15" ht="19.5" customHeight="1" x14ac:dyDescent="0.25">
      <c r="B732" s="999"/>
      <c r="C732" s="529"/>
      <c r="D732" s="640" t="str">
        <f>'19 работа техники'!AB677</f>
        <v>Углерода оксид</v>
      </c>
      <c r="E732" s="703" t="str">
        <f>'19 работа техники'!AC677</f>
        <v>0337</v>
      </c>
      <c r="F732" s="645"/>
      <c r="G732" s="645"/>
      <c r="H732" s="645"/>
      <c r="I732" s="645"/>
      <c r="J732" s="645"/>
      <c r="K732" s="645"/>
      <c r="L732" s="645"/>
      <c r="M732" s="645"/>
      <c r="N732" s="645">
        <f>'19 работа техники'!AD677+'20 въезд-выезд авто'!AG579</f>
        <v>7.5600000000000001E-2</v>
      </c>
      <c r="O732" s="645">
        <f>'19 работа техники'!AE677+'20 въезд-выезд авто'!AH579</f>
        <v>0.1032</v>
      </c>
    </row>
    <row r="733" spans="2:15" ht="19.5" customHeight="1" x14ac:dyDescent="0.25">
      <c r="B733" s="998" t="s">
        <v>715</v>
      </c>
      <c r="C733" s="525" t="s">
        <v>1020</v>
      </c>
      <c r="D733" s="626" t="str">
        <f>'19 работа техники'!AB679</f>
        <v>Азота диоксид</v>
      </c>
      <c r="E733" s="701" t="str">
        <f>'19 работа техники'!AC679</f>
        <v>0301</v>
      </c>
      <c r="F733" s="631"/>
      <c r="G733" s="631"/>
      <c r="H733" s="631"/>
      <c r="I733" s="631"/>
      <c r="J733" s="631"/>
      <c r="K733" s="631"/>
      <c r="L733" s="631"/>
      <c r="M733" s="631"/>
      <c r="N733" s="631">
        <f>'19 работа техники'!AD679+'20 въезд-выезд авто'!AG582</f>
        <v>0.04</v>
      </c>
      <c r="O733" s="631">
        <f>'19 работа техники'!AE679+'20 въезд-выезд авто'!AH582</f>
        <v>0.12</v>
      </c>
    </row>
    <row r="734" spans="2:15" ht="19.5" customHeight="1" x14ac:dyDescent="0.25">
      <c r="B734" s="999"/>
      <c r="C734" s="528" t="s">
        <v>1203</v>
      </c>
      <c r="D734" s="633" t="str">
        <f>'19 работа техники'!AB680</f>
        <v>Азота оксид</v>
      </c>
      <c r="E734" s="702" t="str">
        <f>'19 работа техники'!AC680</f>
        <v>0304</v>
      </c>
      <c r="F734" s="638"/>
      <c r="G734" s="638"/>
      <c r="H734" s="638"/>
      <c r="I734" s="638"/>
      <c r="J734" s="638"/>
      <c r="K734" s="638"/>
      <c r="L734" s="638"/>
      <c r="M734" s="638"/>
      <c r="N734" s="638">
        <f>'19 работа техники'!AD680+'20 въезд-выезд авто'!AG583</f>
        <v>6.5000000000000006E-3</v>
      </c>
      <c r="O734" s="638">
        <f>'19 работа техники'!AE680+'20 въезд-выезд авто'!AH583</f>
        <v>1.95E-2</v>
      </c>
    </row>
    <row r="735" spans="2:15" ht="19.5" customHeight="1" x14ac:dyDescent="0.25">
      <c r="B735" s="999"/>
      <c r="C735" s="528"/>
      <c r="D735" s="633" t="str">
        <f>'19 работа техники'!AB681</f>
        <v>Серы диоксид</v>
      </c>
      <c r="E735" s="702" t="str">
        <f>'19 работа техники'!AC681</f>
        <v>0330</v>
      </c>
      <c r="F735" s="638"/>
      <c r="G735" s="638"/>
      <c r="H735" s="638"/>
      <c r="I735" s="638"/>
      <c r="J735" s="638"/>
      <c r="K735" s="638"/>
      <c r="L735" s="638"/>
      <c r="M735" s="638"/>
      <c r="N735" s="638">
        <f>'19 работа техники'!AD681+'20 въезд-выезд авто'!AG584</f>
        <v>4.1999999999999997E-3</v>
      </c>
      <c r="O735" s="638">
        <f>'19 работа техники'!AE681+'20 въезд-выезд авто'!AH584</f>
        <v>1.221E-2</v>
      </c>
    </row>
    <row r="736" spans="2:15" ht="19.5" customHeight="1" x14ac:dyDescent="0.25">
      <c r="B736" s="999"/>
      <c r="C736" s="528"/>
      <c r="D736" s="633" t="str">
        <f>'19 работа техники'!AB682</f>
        <v>Керосин</v>
      </c>
      <c r="E736" s="702" t="str">
        <f>'19 работа техники'!AC682</f>
        <v>2732</v>
      </c>
      <c r="F736" s="638"/>
      <c r="G736" s="638"/>
      <c r="H736" s="638"/>
      <c r="I736" s="638"/>
      <c r="J736" s="638"/>
      <c r="K736" s="638"/>
      <c r="L736" s="638"/>
      <c r="M736" s="638"/>
      <c r="N736" s="638">
        <f>'19 работа техники'!AD682+'20 въезд-выезд авто'!AG585</f>
        <v>1.4100000000000001E-2</v>
      </c>
      <c r="O736" s="638">
        <f>'19 работа техники'!AE682+'20 въезд-выезд авто'!AH585</f>
        <v>2.86E-2</v>
      </c>
    </row>
    <row r="737" spans="2:15" ht="19.5" customHeight="1" x14ac:dyDescent="0.25">
      <c r="B737" s="999"/>
      <c r="C737" s="528"/>
      <c r="D737" s="633" t="str">
        <f>'19 работа техники'!AB683</f>
        <v xml:space="preserve">Углерод </v>
      </c>
      <c r="E737" s="702" t="str">
        <f>'19 работа техники'!AC683</f>
        <v>0328</v>
      </c>
      <c r="F737" s="638"/>
      <c r="G737" s="638"/>
      <c r="H737" s="638"/>
      <c r="I737" s="638"/>
      <c r="J737" s="638"/>
      <c r="K737" s="638"/>
      <c r="L737" s="638"/>
      <c r="M737" s="638"/>
      <c r="N737" s="638">
        <f>'19 работа техники'!AD683+'20 въезд-выезд авто'!AG587</f>
        <v>6.6E-3</v>
      </c>
      <c r="O737" s="638">
        <f>'19 работа техники'!AE683+'20 въезд-выезд авто'!AH587</f>
        <v>1.644E-2</v>
      </c>
    </row>
    <row r="738" spans="2:15" ht="19.5" customHeight="1" x14ac:dyDescent="0.25">
      <c r="B738" s="999"/>
      <c r="C738" s="529"/>
      <c r="D738" s="640" t="str">
        <f>'19 работа техники'!AB684</f>
        <v>Углерода оксид</v>
      </c>
      <c r="E738" s="703" t="str">
        <f>'19 работа техники'!AC684</f>
        <v>0337</v>
      </c>
      <c r="F738" s="645"/>
      <c r="G738" s="645"/>
      <c r="H738" s="645"/>
      <c r="I738" s="645"/>
      <c r="J738" s="645"/>
      <c r="K738" s="645"/>
      <c r="L738" s="645"/>
      <c r="M738" s="645"/>
      <c r="N738" s="645">
        <f>'19 работа техники'!AD684+'20 въезд-выезд авто'!AG586</f>
        <v>7.5600000000000001E-2</v>
      </c>
      <c r="O738" s="645">
        <f>'19 работа техники'!AE684+'20 въезд-выезд авто'!AH586</f>
        <v>0.1032</v>
      </c>
    </row>
    <row r="739" spans="2:15" ht="17.25" customHeight="1" x14ac:dyDescent="0.25">
      <c r="B739" s="998" t="s">
        <v>716</v>
      </c>
      <c r="C739" s="525" t="s">
        <v>1021</v>
      </c>
      <c r="D739" s="626" t="str">
        <f>'19 работа техники'!AB686</f>
        <v>Азота диоксид</v>
      </c>
      <c r="E739" s="701" t="str">
        <f>'19 работа техники'!AC686</f>
        <v>0301</v>
      </c>
      <c r="F739" s="631"/>
      <c r="G739" s="631"/>
      <c r="H739" s="631"/>
      <c r="I739" s="631"/>
      <c r="J739" s="631"/>
      <c r="K739" s="631"/>
      <c r="L739" s="631">
        <f>'19 работа техники'!AD318+'20 въезд-выезд авто'!AG266</f>
        <v>0.04</v>
      </c>
      <c r="M739" s="631">
        <f>'19 работа техники'!AE318+'20 въезд-выезд авто'!AH266</f>
        <v>6.4199999999999993E-2</v>
      </c>
      <c r="N739" s="631">
        <f>'19 работа техники'!AD686+'20 въезд-выезд авто'!AG589</f>
        <v>0.04</v>
      </c>
      <c r="O739" s="631">
        <f>'19 работа техники'!AE686+'20 въезд-выезд авто'!AH589</f>
        <v>0.25650000000000001</v>
      </c>
    </row>
    <row r="740" spans="2:15" ht="17.25" customHeight="1" x14ac:dyDescent="0.25">
      <c r="B740" s="999"/>
      <c r="C740" s="528" t="s">
        <v>1203</v>
      </c>
      <c r="D740" s="633" t="str">
        <f>'19 работа техники'!AB687</f>
        <v>Азота оксид</v>
      </c>
      <c r="E740" s="702" t="str">
        <f>'19 работа техники'!AC687</f>
        <v>0304</v>
      </c>
      <c r="F740" s="638"/>
      <c r="G740" s="638"/>
      <c r="H740" s="638"/>
      <c r="I740" s="638"/>
      <c r="J740" s="638"/>
      <c r="K740" s="638"/>
      <c r="L740" s="638">
        <f>'19 работа техники'!AD319+'20 въезд-выезд авто'!AG267</f>
        <v>6.5000000000000006E-3</v>
      </c>
      <c r="M740" s="638">
        <f>'19 работа техники'!AE319+'20 въезд-выезд авто'!AH267</f>
        <v>1.0499999999999999E-2</v>
      </c>
      <c r="N740" s="638">
        <f>'19 работа техники'!AD687+'20 въезд-выезд авто'!AG590</f>
        <v>6.5000000000000006E-3</v>
      </c>
      <c r="O740" s="638">
        <f>'19 работа техники'!AE687+'20 въезд-выезд авто'!AH590</f>
        <v>4.1600000000000005E-2</v>
      </c>
    </row>
    <row r="741" spans="2:15" ht="17.25" customHeight="1" x14ac:dyDescent="0.25">
      <c r="B741" s="999"/>
      <c r="C741" s="528"/>
      <c r="D741" s="633" t="str">
        <f>'19 работа техники'!AB688</f>
        <v>Серы диоксид</v>
      </c>
      <c r="E741" s="702" t="str">
        <f>'19 работа техники'!AC688</f>
        <v>0330</v>
      </c>
      <c r="F741" s="638"/>
      <c r="G741" s="638"/>
      <c r="H741" s="638"/>
      <c r="I741" s="638"/>
      <c r="J741" s="638"/>
      <c r="K741" s="638"/>
      <c r="L741" s="638">
        <f>'19 работа техники'!AD320+'20 въезд-выезд авто'!AG268</f>
        <v>4.1999999999999997E-3</v>
      </c>
      <c r="M741" s="638">
        <f>'19 работа техники'!AE320+'20 въезд-выезд авто'!AH268</f>
        <v>7.5100000000000002E-3</v>
      </c>
      <c r="N741" s="638">
        <f>'19 работа техники'!AD688+'20 въезд-выезд авто'!AG591</f>
        <v>4.1999999999999997E-3</v>
      </c>
      <c r="O741" s="638">
        <f>'19 работа техники'!AE688+'20 въезд-выезд авто'!AH591</f>
        <v>2.7790000000000002E-2</v>
      </c>
    </row>
    <row r="742" spans="2:15" ht="17.25" customHeight="1" x14ac:dyDescent="0.25">
      <c r="B742" s="999"/>
      <c r="C742" s="528"/>
      <c r="D742" s="633" t="str">
        <f>'19 работа техники'!AB689</f>
        <v>Керосин</v>
      </c>
      <c r="E742" s="702" t="str">
        <f>'19 работа техники'!AC689</f>
        <v>2732</v>
      </c>
      <c r="F742" s="638"/>
      <c r="G742" s="638"/>
      <c r="H742" s="638"/>
      <c r="I742" s="638"/>
      <c r="J742" s="638"/>
      <c r="K742" s="638"/>
      <c r="L742" s="638">
        <f>'19 работа техники'!AD321+'20 въезд-выезд авто'!AG269</f>
        <v>1.4100000000000001E-2</v>
      </c>
      <c r="M742" s="638">
        <f>'19 работа техники'!AE321+'20 въезд-выезд авто'!AH269</f>
        <v>1.8200000000000001E-2</v>
      </c>
      <c r="N742" s="638">
        <f>'19 работа техники'!AD689+'20 въезд-выезд авто'!AG592</f>
        <v>1.4100000000000001E-2</v>
      </c>
      <c r="O742" s="638">
        <f>'19 работа техники'!AE689+'20 въезд-выезд авто'!AH592</f>
        <v>6.6099999999999992E-2</v>
      </c>
    </row>
    <row r="743" spans="2:15" ht="17.25" customHeight="1" x14ac:dyDescent="0.25">
      <c r="B743" s="999"/>
      <c r="C743" s="528"/>
      <c r="D743" s="633" t="str">
        <f>'19 работа техники'!AB690</f>
        <v xml:space="preserve">Углерод </v>
      </c>
      <c r="E743" s="702" t="str">
        <f>'19 работа техники'!AC690</f>
        <v>0328</v>
      </c>
      <c r="F743" s="638"/>
      <c r="G743" s="638"/>
      <c r="H743" s="638"/>
      <c r="I743" s="638"/>
      <c r="J743" s="638"/>
      <c r="K743" s="638"/>
      <c r="L743" s="638">
        <f>'19 работа техники'!AD322+'20 въезд-выезд авто'!AG271</f>
        <v>6.6E-3</v>
      </c>
      <c r="M743" s="638">
        <f>'19 работа техники'!AE322+'20 въезд-выезд авто'!AH271</f>
        <v>1.2529999999999999E-2</v>
      </c>
      <c r="N743" s="638">
        <f>'19 работа техники'!AD690+'20 въезд-выезд авто'!AG594</f>
        <v>6.6E-3</v>
      </c>
      <c r="O743" s="638">
        <f>'19 работа техники'!AE690+'20 въезд-выезд авто'!AH594</f>
        <v>4.2430000000000002E-2</v>
      </c>
    </row>
    <row r="744" spans="2:15" ht="17.25" customHeight="1" x14ac:dyDescent="0.25">
      <c r="B744" s="999"/>
      <c r="C744" s="529"/>
      <c r="D744" s="640" t="str">
        <f>'19 работа техники'!AB691</f>
        <v>Углерода оксид</v>
      </c>
      <c r="E744" s="703" t="str">
        <f>'19 работа техники'!AC691</f>
        <v>0337</v>
      </c>
      <c r="F744" s="645"/>
      <c r="G744" s="645"/>
      <c r="H744" s="645"/>
      <c r="I744" s="645"/>
      <c r="J744" s="645"/>
      <c r="K744" s="645"/>
      <c r="L744" s="645">
        <f>'19 работа техники'!AD323+'20 въезд-выезд авто'!AG270</f>
        <v>7.5600000000000001E-2</v>
      </c>
      <c r="M744" s="645">
        <f>'19 работа техники'!AE323+'20 въезд-выезд авто'!AH270</f>
        <v>7.0699999999999999E-2</v>
      </c>
      <c r="N744" s="645">
        <f>'19 работа техники'!AD691+'20 въезд-выезд авто'!AG593</f>
        <v>7.5600000000000001E-2</v>
      </c>
      <c r="O744" s="645">
        <f>'19 работа техники'!AE691+'20 въезд-выезд авто'!AH593</f>
        <v>0.24759999999999999</v>
      </c>
    </row>
    <row r="745" spans="2:15" ht="17.25" customHeight="1" x14ac:dyDescent="0.25">
      <c r="B745" s="998" t="s">
        <v>717</v>
      </c>
      <c r="C745" s="525" t="s">
        <v>1022</v>
      </c>
      <c r="D745" s="626" t="str">
        <f>'19 работа техники'!AB693</f>
        <v>Азота диоксид</v>
      </c>
      <c r="E745" s="701" t="str">
        <f>'19 работа техники'!AC693</f>
        <v>0301</v>
      </c>
      <c r="F745" s="631"/>
      <c r="G745" s="631"/>
      <c r="H745" s="631"/>
      <c r="I745" s="631"/>
      <c r="J745" s="631"/>
      <c r="K745" s="631"/>
      <c r="L745" s="631">
        <f>'19 работа техники'!AD325+'20 въезд-выезд авто'!AG273</f>
        <v>0.04</v>
      </c>
      <c r="M745" s="631">
        <f>'19 работа техники'!AE325+'20 въезд-выезд авто'!AH273</f>
        <v>6.4199999999999993E-2</v>
      </c>
      <c r="N745" s="631">
        <f>'19 работа техники'!AD693+'20 въезд-выезд авто'!AG596</f>
        <v>0.04</v>
      </c>
      <c r="O745" s="631">
        <f>'19 работа техники'!AE693+'20 въезд-выезд авто'!AH596</f>
        <v>0.25650000000000001</v>
      </c>
    </row>
    <row r="746" spans="2:15" ht="17.25" customHeight="1" x14ac:dyDescent="0.25">
      <c r="B746" s="999"/>
      <c r="C746" s="528" t="s">
        <v>1203</v>
      </c>
      <c r="D746" s="633" t="str">
        <f>'19 работа техники'!AB694</f>
        <v>Азота оксид</v>
      </c>
      <c r="E746" s="702" t="str">
        <f>'19 работа техники'!AC694</f>
        <v>0304</v>
      </c>
      <c r="F746" s="638"/>
      <c r="G746" s="638"/>
      <c r="H746" s="638"/>
      <c r="I746" s="638"/>
      <c r="J746" s="638"/>
      <c r="K746" s="638"/>
      <c r="L746" s="638">
        <f>'19 работа техники'!AD326+'20 въезд-выезд авто'!AG274</f>
        <v>6.5000000000000006E-3</v>
      </c>
      <c r="M746" s="638">
        <f>'19 работа техники'!AE326+'20 въезд-выезд авто'!AH274</f>
        <v>1.0499999999999999E-2</v>
      </c>
      <c r="N746" s="638">
        <f>'19 работа техники'!AD694+'20 въезд-выезд авто'!AG597</f>
        <v>6.5000000000000006E-3</v>
      </c>
      <c r="O746" s="638">
        <f>'19 работа техники'!AE694+'20 въезд-выезд авто'!AH597</f>
        <v>4.1600000000000005E-2</v>
      </c>
    </row>
    <row r="747" spans="2:15" ht="17.25" customHeight="1" x14ac:dyDescent="0.25">
      <c r="B747" s="999"/>
      <c r="C747" s="528"/>
      <c r="D747" s="633" t="str">
        <f>'19 работа техники'!AB695</f>
        <v>Серы диоксид</v>
      </c>
      <c r="E747" s="702" t="str">
        <f>'19 работа техники'!AC695</f>
        <v>0330</v>
      </c>
      <c r="F747" s="638"/>
      <c r="G747" s="638"/>
      <c r="H747" s="638"/>
      <c r="I747" s="638"/>
      <c r="J747" s="638"/>
      <c r="K747" s="638"/>
      <c r="L747" s="638">
        <f>'19 работа техники'!AD327+'20 въезд-выезд авто'!AG275</f>
        <v>4.1999999999999997E-3</v>
      </c>
      <c r="M747" s="638">
        <f>'19 работа техники'!AE327+'20 въезд-выезд авто'!AH275</f>
        <v>7.5100000000000002E-3</v>
      </c>
      <c r="N747" s="638">
        <f>'19 работа техники'!AD695+'20 въезд-выезд авто'!AG598</f>
        <v>4.1999999999999997E-3</v>
      </c>
      <c r="O747" s="638">
        <f>'19 работа техники'!AE695+'20 въезд-выезд авто'!AH598</f>
        <v>2.7790000000000002E-2</v>
      </c>
    </row>
    <row r="748" spans="2:15" ht="17.25" customHeight="1" x14ac:dyDescent="0.25">
      <c r="B748" s="999"/>
      <c r="C748" s="528"/>
      <c r="D748" s="633" t="str">
        <f>'19 работа техники'!AB696</f>
        <v>Керосин</v>
      </c>
      <c r="E748" s="702" t="str">
        <f>'19 работа техники'!AC696</f>
        <v>2732</v>
      </c>
      <c r="F748" s="638"/>
      <c r="G748" s="638"/>
      <c r="H748" s="638"/>
      <c r="I748" s="638"/>
      <c r="J748" s="638"/>
      <c r="K748" s="638"/>
      <c r="L748" s="638">
        <f>'19 работа техники'!AD328+'20 въезд-выезд авто'!AG276</f>
        <v>1.4100000000000001E-2</v>
      </c>
      <c r="M748" s="638">
        <f>'19 работа техники'!AE328+'20 въезд-выезд авто'!AH276</f>
        <v>1.8200000000000001E-2</v>
      </c>
      <c r="N748" s="638">
        <f>'19 работа техники'!AD696+'20 въезд-выезд авто'!AG599</f>
        <v>1.4100000000000001E-2</v>
      </c>
      <c r="O748" s="638">
        <f>'19 работа техники'!AE696+'20 въезд-выезд авто'!AH599</f>
        <v>6.6099999999999992E-2</v>
      </c>
    </row>
    <row r="749" spans="2:15" ht="17.25" customHeight="1" x14ac:dyDescent="0.25">
      <c r="B749" s="999"/>
      <c r="C749" s="528"/>
      <c r="D749" s="633" t="str">
        <f>'19 работа техники'!AB697</f>
        <v xml:space="preserve">Углерод </v>
      </c>
      <c r="E749" s="702" t="str">
        <f>'19 работа техники'!AC697</f>
        <v>0328</v>
      </c>
      <c r="F749" s="638"/>
      <c r="G749" s="638"/>
      <c r="H749" s="638"/>
      <c r="I749" s="638"/>
      <c r="J749" s="638"/>
      <c r="K749" s="638"/>
      <c r="L749" s="638">
        <f>'19 работа техники'!AD329+'20 въезд-выезд авто'!AG278</f>
        <v>6.6E-3</v>
      </c>
      <c r="M749" s="638">
        <f>'19 работа техники'!AE329+'20 въезд-выезд авто'!AH278</f>
        <v>1.2529999999999999E-2</v>
      </c>
      <c r="N749" s="638">
        <f>'19 работа техники'!AD697+'20 въезд-выезд авто'!AG601</f>
        <v>6.6E-3</v>
      </c>
      <c r="O749" s="638">
        <f>'19 работа техники'!AE697+'20 въезд-выезд авто'!AH601</f>
        <v>4.2430000000000002E-2</v>
      </c>
    </row>
    <row r="750" spans="2:15" ht="17.25" customHeight="1" x14ac:dyDescent="0.25">
      <c r="B750" s="999"/>
      <c r="C750" s="529"/>
      <c r="D750" s="640" t="str">
        <f>'19 работа техники'!AB698</f>
        <v>Углерода оксид</v>
      </c>
      <c r="E750" s="703" t="str">
        <f>'19 работа техники'!AC698</f>
        <v>0337</v>
      </c>
      <c r="F750" s="645"/>
      <c r="G750" s="645"/>
      <c r="H750" s="645"/>
      <c r="I750" s="645"/>
      <c r="J750" s="645"/>
      <c r="K750" s="645"/>
      <c r="L750" s="645">
        <f>'19 работа техники'!AD330+'20 въезд-выезд авто'!AG277</f>
        <v>7.5600000000000001E-2</v>
      </c>
      <c r="M750" s="645">
        <f>'19 работа техники'!AE330+'20 въезд-выезд авто'!AH277</f>
        <v>7.0699999999999999E-2</v>
      </c>
      <c r="N750" s="645">
        <f>'19 работа техники'!AD698+'20 въезд-выезд авто'!AG600</f>
        <v>7.5600000000000001E-2</v>
      </c>
      <c r="O750" s="645">
        <f>'19 работа техники'!AE698+'20 въезд-выезд авто'!AH600</f>
        <v>0.24759999999999999</v>
      </c>
    </row>
    <row r="751" spans="2:15" ht="17.25" customHeight="1" x14ac:dyDescent="0.25">
      <c r="B751" s="998" t="s">
        <v>718</v>
      </c>
      <c r="C751" s="525" t="s">
        <v>1023</v>
      </c>
      <c r="D751" s="626" t="str">
        <f>'19 работа техники'!AB700</f>
        <v>Азота диоксид</v>
      </c>
      <c r="E751" s="701" t="str">
        <f>'19 работа техники'!AC700</f>
        <v>0301</v>
      </c>
      <c r="F751" s="631"/>
      <c r="G751" s="631"/>
      <c r="H751" s="631"/>
      <c r="I751" s="631"/>
      <c r="J751" s="631"/>
      <c r="K751" s="631"/>
      <c r="L751" s="631"/>
      <c r="M751" s="631"/>
      <c r="N751" s="631">
        <f>'19 работа техники'!AD700+'20 въезд-выезд авто'!AG603</f>
        <v>0.04</v>
      </c>
      <c r="O751" s="631">
        <f>'19 работа техники'!AE700+'20 въезд-выезд авто'!AH603</f>
        <v>0.12</v>
      </c>
    </row>
    <row r="752" spans="2:15" ht="17.25" customHeight="1" x14ac:dyDescent="0.25">
      <c r="B752" s="999"/>
      <c r="C752" s="528" t="s">
        <v>1203</v>
      </c>
      <c r="D752" s="633" t="str">
        <f>'19 работа техники'!AB701</f>
        <v>Азота оксид</v>
      </c>
      <c r="E752" s="702" t="str">
        <f>'19 работа техники'!AC701</f>
        <v>0304</v>
      </c>
      <c r="F752" s="638"/>
      <c r="G752" s="638"/>
      <c r="H752" s="638"/>
      <c r="I752" s="638"/>
      <c r="J752" s="638"/>
      <c r="K752" s="638"/>
      <c r="L752" s="638"/>
      <c r="M752" s="638"/>
      <c r="N752" s="638">
        <f>'19 работа техники'!AD701+'20 въезд-выезд авто'!AG604</f>
        <v>6.5000000000000006E-3</v>
      </c>
      <c r="O752" s="638">
        <f>'19 работа техники'!AE701+'20 въезд-выезд авто'!AH604</f>
        <v>1.95E-2</v>
      </c>
    </row>
    <row r="753" spans="2:15" ht="17.25" customHeight="1" x14ac:dyDescent="0.25">
      <c r="B753" s="999"/>
      <c r="C753" s="528"/>
      <c r="D753" s="633" t="str">
        <f>'19 работа техники'!AB702</f>
        <v>Серы диоксид</v>
      </c>
      <c r="E753" s="702" t="str">
        <f>'19 работа техники'!AC702</f>
        <v>0330</v>
      </c>
      <c r="F753" s="638"/>
      <c r="G753" s="638"/>
      <c r="H753" s="638"/>
      <c r="I753" s="638"/>
      <c r="J753" s="638"/>
      <c r="K753" s="638"/>
      <c r="L753" s="638"/>
      <c r="M753" s="638"/>
      <c r="N753" s="638">
        <f>'19 работа техники'!AD702+'20 въезд-выезд авто'!AG605</f>
        <v>4.1999999999999997E-3</v>
      </c>
      <c r="O753" s="638">
        <f>'19 работа техники'!AE702+'20 въезд-выезд авто'!AH605</f>
        <v>1.221E-2</v>
      </c>
    </row>
    <row r="754" spans="2:15" ht="17.25" customHeight="1" x14ac:dyDescent="0.25">
      <c r="B754" s="999"/>
      <c r="C754" s="528"/>
      <c r="D754" s="633" t="str">
        <f>'19 работа техники'!AB703</f>
        <v>Керосин</v>
      </c>
      <c r="E754" s="702" t="str">
        <f>'19 работа техники'!AC703</f>
        <v>2732</v>
      </c>
      <c r="F754" s="638"/>
      <c r="G754" s="638"/>
      <c r="H754" s="638"/>
      <c r="I754" s="638"/>
      <c r="J754" s="638"/>
      <c r="K754" s="638"/>
      <c r="L754" s="638"/>
      <c r="M754" s="638"/>
      <c r="N754" s="638">
        <f>'19 работа техники'!AD703+'20 въезд-выезд авто'!AG606</f>
        <v>1.4100000000000001E-2</v>
      </c>
      <c r="O754" s="638">
        <f>'19 работа техники'!AE703+'20 въезд-выезд авто'!AH606</f>
        <v>2.86E-2</v>
      </c>
    </row>
    <row r="755" spans="2:15" ht="17.25" customHeight="1" x14ac:dyDescent="0.25">
      <c r="B755" s="999"/>
      <c r="C755" s="528"/>
      <c r="D755" s="633" t="str">
        <f>'19 работа техники'!AB704</f>
        <v xml:space="preserve">Углерод </v>
      </c>
      <c r="E755" s="702" t="str">
        <f>'19 работа техники'!AC704</f>
        <v>0328</v>
      </c>
      <c r="F755" s="638"/>
      <c r="G755" s="638"/>
      <c r="H755" s="638"/>
      <c r="I755" s="638"/>
      <c r="J755" s="638"/>
      <c r="K755" s="638"/>
      <c r="L755" s="638"/>
      <c r="M755" s="638"/>
      <c r="N755" s="638">
        <f>'19 работа техники'!AD704+'20 въезд-выезд авто'!AG608</f>
        <v>6.6E-3</v>
      </c>
      <c r="O755" s="638">
        <f>'19 работа техники'!AE704+'20 въезд-выезд авто'!AH608</f>
        <v>1.644E-2</v>
      </c>
    </row>
    <row r="756" spans="2:15" ht="17.25" customHeight="1" x14ac:dyDescent="0.25">
      <c r="B756" s="999"/>
      <c r="C756" s="529"/>
      <c r="D756" s="640" t="str">
        <f>'19 работа техники'!AB705</f>
        <v>Углерода оксид</v>
      </c>
      <c r="E756" s="703" t="str">
        <f>'19 работа техники'!AC705</f>
        <v>0337</v>
      </c>
      <c r="F756" s="645"/>
      <c r="G756" s="645"/>
      <c r="H756" s="645"/>
      <c r="I756" s="645"/>
      <c r="J756" s="645"/>
      <c r="K756" s="645"/>
      <c r="L756" s="645"/>
      <c r="M756" s="645"/>
      <c r="N756" s="645">
        <f>'19 работа техники'!AD705+'20 въезд-выезд авто'!AG607</f>
        <v>7.5600000000000001E-2</v>
      </c>
      <c r="O756" s="645">
        <f>'19 работа техники'!AE705+'20 въезд-выезд авто'!AH607</f>
        <v>0.1032</v>
      </c>
    </row>
    <row r="757" spans="2:15" ht="17.25" customHeight="1" x14ac:dyDescent="0.25">
      <c r="B757" s="998" t="s">
        <v>719</v>
      </c>
      <c r="C757" s="525" t="s">
        <v>1024</v>
      </c>
      <c r="D757" s="626" t="str">
        <f>'19 работа техники'!AB707</f>
        <v>Азота диоксид</v>
      </c>
      <c r="E757" s="701" t="str">
        <f>'19 работа техники'!AC707</f>
        <v>0301</v>
      </c>
      <c r="F757" s="631"/>
      <c r="G757" s="631"/>
      <c r="H757" s="631"/>
      <c r="I757" s="631"/>
      <c r="J757" s="631"/>
      <c r="K757" s="631"/>
      <c r="L757" s="631"/>
      <c r="M757" s="631"/>
      <c r="N757" s="631">
        <f>'19 работа техники'!AD707+'20 въезд-выезд авто'!AG610</f>
        <v>0.04</v>
      </c>
      <c r="O757" s="631">
        <f>'19 работа техники'!AE707+'20 въезд-выезд авто'!AH610</f>
        <v>0.12</v>
      </c>
    </row>
    <row r="758" spans="2:15" ht="17.25" customHeight="1" x14ac:dyDescent="0.25">
      <c r="B758" s="999"/>
      <c r="C758" s="528" t="s">
        <v>1203</v>
      </c>
      <c r="D758" s="633" t="str">
        <f>'19 работа техники'!AB708</f>
        <v>Азота оксид</v>
      </c>
      <c r="E758" s="702" t="str">
        <f>'19 работа техники'!AC708</f>
        <v>0304</v>
      </c>
      <c r="F758" s="638"/>
      <c r="G758" s="638"/>
      <c r="H758" s="638"/>
      <c r="I758" s="638"/>
      <c r="J758" s="638"/>
      <c r="K758" s="638"/>
      <c r="L758" s="638"/>
      <c r="M758" s="638"/>
      <c r="N758" s="638">
        <f>'19 работа техники'!AD708+'20 въезд-выезд авто'!AG611</f>
        <v>6.5000000000000006E-3</v>
      </c>
      <c r="O758" s="638">
        <f>'19 работа техники'!AE708+'20 въезд-выезд авто'!AH611</f>
        <v>1.95E-2</v>
      </c>
    </row>
    <row r="759" spans="2:15" ht="17.25" customHeight="1" x14ac:dyDescent="0.25">
      <c r="B759" s="999"/>
      <c r="C759" s="528"/>
      <c r="D759" s="633" t="str">
        <f>'19 работа техники'!AB709</f>
        <v>Серы диоксид</v>
      </c>
      <c r="E759" s="702" t="str">
        <f>'19 работа техники'!AC709</f>
        <v>0330</v>
      </c>
      <c r="F759" s="638"/>
      <c r="G759" s="638"/>
      <c r="H759" s="638"/>
      <c r="I759" s="638"/>
      <c r="J759" s="638"/>
      <c r="K759" s="638"/>
      <c r="L759" s="638"/>
      <c r="M759" s="638"/>
      <c r="N759" s="638">
        <f>'19 работа техники'!AD709+'20 въезд-выезд авто'!AG612</f>
        <v>4.1999999999999997E-3</v>
      </c>
      <c r="O759" s="638">
        <f>'19 работа техники'!AE709+'20 въезд-выезд авто'!AH612</f>
        <v>1.221E-2</v>
      </c>
    </row>
    <row r="760" spans="2:15" ht="17.25" customHeight="1" x14ac:dyDescent="0.25">
      <c r="B760" s="999"/>
      <c r="C760" s="528"/>
      <c r="D760" s="633" t="str">
        <f>'19 работа техники'!AB710</f>
        <v>Керосин</v>
      </c>
      <c r="E760" s="702" t="str">
        <f>'19 работа техники'!AC710</f>
        <v>2732</v>
      </c>
      <c r="F760" s="638"/>
      <c r="G760" s="638"/>
      <c r="H760" s="638"/>
      <c r="I760" s="638"/>
      <c r="J760" s="638"/>
      <c r="K760" s="638"/>
      <c r="L760" s="638"/>
      <c r="M760" s="638"/>
      <c r="N760" s="638">
        <f>'19 работа техники'!AD710+'20 въезд-выезд авто'!AG613</f>
        <v>1.4100000000000001E-2</v>
      </c>
      <c r="O760" s="638">
        <f>'19 работа техники'!AE710+'20 въезд-выезд авто'!AH613</f>
        <v>2.86E-2</v>
      </c>
    </row>
    <row r="761" spans="2:15" ht="17.25" customHeight="1" x14ac:dyDescent="0.25">
      <c r="B761" s="999"/>
      <c r="C761" s="528"/>
      <c r="D761" s="633" t="str">
        <f>'19 работа техники'!AB711</f>
        <v xml:space="preserve">Углерод </v>
      </c>
      <c r="E761" s="702" t="str">
        <f>'19 работа техники'!AC711</f>
        <v>0328</v>
      </c>
      <c r="F761" s="638"/>
      <c r="G761" s="638"/>
      <c r="H761" s="638"/>
      <c r="I761" s="638"/>
      <c r="J761" s="638"/>
      <c r="K761" s="638"/>
      <c r="L761" s="638"/>
      <c r="M761" s="638"/>
      <c r="N761" s="638">
        <f>'19 работа техники'!AD711+'20 въезд-выезд авто'!AG615</f>
        <v>6.6E-3</v>
      </c>
      <c r="O761" s="638">
        <f>'19 работа техники'!AE711+'20 въезд-выезд авто'!AH615</f>
        <v>1.644E-2</v>
      </c>
    </row>
    <row r="762" spans="2:15" ht="17.25" customHeight="1" x14ac:dyDescent="0.25">
      <c r="B762" s="999"/>
      <c r="C762" s="529"/>
      <c r="D762" s="640" t="str">
        <f>'19 работа техники'!AB712</f>
        <v>Углерода оксид</v>
      </c>
      <c r="E762" s="703" t="str">
        <f>'19 работа техники'!AC712</f>
        <v>0337</v>
      </c>
      <c r="F762" s="645"/>
      <c r="G762" s="645"/>
      <c r="H762" s="645"/>
      <c r="I762" s="645"/>
      <c r="J762" s="645"/>
      <c r="K762" s="645"/>
      <c r="L762" s="645"/>
      <c r="M762" s="645"/>
      <c r="N762" s="645">
        <f>'19 работа техники'!AD712+'20 въезд-выезд авто'!AG614</f>
        <v>7.5600000000000001E-2</v>
      </c>
      <c r="O762" s="645">
        <f>'19 работа техники'!AE712+'20 въезд-выезд авто'!AH614</f>
        <v>0.1032</v>
      </c>
    </row>
    <row r="763" spans="2:15" ht="17.25" customHeight="1" x14ac:dyDescent="0.25">
      <c r="B763" s="998" t="s">
        <v>1025</v>
      </c>
      <c r="C763" s="525" t="s">
        <v>1026</v>
      </c>
      <c r="D763" s="626" t="str">
        <f>'20 въезд-выезд авто'!AE617</f>
        <v>Азота диоксид</v>
      </c>
      <c r="E763" s="701" t="str">
        <f>'20 въезд-выезд авто'!AF617</f>
        <v>0301</v>
      </c>
      <c r="F763" s="631"/>
      <c r="G763" s="631"/>
      <c r="H763" s="631"/>
      <c r="I763" s="631"/>
      <c r="J763" s="631"/>
      <c r="K763" s="631"/>
      <c r="L763" s="631">
        <f>'20 въезд-выезд авто'!AG280</f>
        <v>9.1000000000000004E-3</v>
      </c>
      <c r="M763" s="631">
        <f>'20 въезд-выезд авто'!AH280</f>
        <v>2.3E-3</v>
      </c>
      <c r="N763" s="631">
        <f>'20 въезд-выезд авто'!AG617</f>
        <v>9.1000000000000004E-3</v>
      </c>
      <c r="O763" s="631">
        <f>'20 въезд-выезд авто'!AH617</f>
        <v>5.1000000000000004E-3</v>
      </c>
    </row>
    <row r="764" spans="2:15" ht="17.25" customHeight="1" x14ac:dyDescent="0.25">
      <c r="B764" s="999"/>
      <c r="C764" s="528" t="s">
        <v>150</v>
      </c>
      <c r="D764" s="633" t="str">
        <f>'20 въезд-выезд авто'!AE618</f>
        <v>Азота оксид</v>
      </c>
      <c r="E764" s="702" t="str">
        <f>'20 въезд-выезд авто'!AF618</f>
        <v>0304</v>
      </c>
      <c r="F764" s="638"/>
      <c r="G764" s="638"/>
      <c r="H764" s="638"/>
      <c r="I764" s="638"/>
      <c r="J764" s="638"/>
      <c r="K764" s="638"/>
      <c r="L764" s="638">
        <f>'20 въезд-выезд авто'!AG281</f>
        <v>1.5E-3</v>
      </c>
      <c r="M764" s="638">
        <f>'20 въезд-выезд авто'!AH281</f>
        <v>4.0000000000000002E-4</v>
      </c>
      <c r="N764" s="638">
        <f>'20 въезд-выезд авто'!AG618</f>
        <v>1.5E-3</v>
      </c>
      <c r="O764" s="638">
        <f>'20 въезд-выезд авто'!AH618</f>
        <v>8.0000000000000004E-4</v>
      </c>
    </row>
    <row r="765" spans="2:15" ht="17.25" customHeight="1" x14ac:dyDescent="0.25">
      <c r="B765" s="999"/>
      <c r="C765" s="528"/>
      <c r="D765" s="633" t="str">
        <f>'20 въезд-выезд авто'!AE619</f>
        <v>Серы диоксид</v>
      </c>
      <c r="E765" s="702" t="str">
        <f>'20 въезд-выезд авто'!AF619</f>
        <v>0330</v>
      </c>
      <c r="F765" s="638"/>
      <c r="G765" s="638"/>
      <c r="H765" s="638"/>
      <c r="I765" s="638"/>
      <c r="J765" s="638"/>
      <c r="K765" s="638"/>
      <c r="L765" s="638">
        <f>'20 въезд-выезд авто'!AG282</f>
        <v>8.0000000000000004E-4</v>
      </c>
      <c r="M765" s="638">
        <f>'20 въезд-выезд авто'!AH282</f>
        <v>2.1000000000000001E-4</v>
      </c>
      <c r="N765" s="638">
        <f>'20 въезд-выезд авто'!AG619</f>
        <v>8.0000000000000004E-4</v>
      </c>
      <c r="O765" s="638">
        <f>'20 въезд-выезд авто'!AH619</f>
        <v>4.8999999999999998E-4</v>
      </c>
    </row>
    <row r="766" spans="2:15" ht="17.25" customHeight="1" x14ac:dyDescent="0.25">
      <c r="B766" s="999"/>
      <c r="C766" s="528"/>
      <c r="D766" s="633" t="str">
        <f>'20 въезд-выезд авто'!AE620</f>
        <v>Керосин</v>
      </c>
      <c r="E766" s="702" t="str">
        <f>'20 въезд-выезд авто'!AF620</f>
        <v>2732</v>
      </c>
      <c r="F766" s="638"/>
      <c r="G766" s="638"/>
      <c r="H766" s="638"/>
      <c r="I766" s="638"/>
      <c r="J766" s="638"/>
      <c r="K766" s="638"/>
      <c r="L766" s="638">
        <f>'20 въезд-выезд авто'!AG283</f>
        <v>6.1999999999999998E-3</v>
      </c>
      <c r="M766" s="638">
        <f>'20 въезд-выезд авто'!AH283</f>
        <v>1.6000000000000001E-3</v>
      </c>
      <c r="N766" s="638">
        <f>'20 въезд-выезд авто'!AG620</f>
        <v>6.1999999999999998E-3</v>
      </c>
      <c r="O766" s="638">
        <f>'20 въезд-выезд авто'!AH620</f>
        <v>3.3E-3</v>
      </c>
    </row>
    <row r="767" spans="2:15" ht="17.25" customHeight="1" x14ac:dyDescent="0.25">
      <c r="B767" s="999"/>
      <c r="C767" s="528"/>
      <c r="D767" s="633" t="str">
        <f>'20 въезд-выезд авто'!AE621</f>
        <v>Углерода оксид</v>
      </c>
      <c r="E767" s="702" t="str">
        <f>'20 въезд-выезд авто'!AF621</f>
        <v>0337</v>
      </c>
      <c r="F767" s="638"/>
      <c r="G767" s="638"/>
      <c r="H767" s="638"/>
      <c r="I767" s="638"/>
      <c r="J767" s="638"/>
      <c r="K767" s="638"/>
      <c r="L767" s="638">
        <f>'20 въезд-выезд авто'!AG284</f>
        <v>4.6399999999999997E-2</v>
      </c>
      <c r="M767" s="638">
        <f>'20 въезд-выезд авто'!AH284</f>
        <v>1.17E-2</v>
      </c>
      <c r="N767" s="638">
        <f>'20 въезд-выезд авто'!AG621</f>
        <v>4.6399999999999997E-2</v>
      </c>
      <c r="O767" s="638">
        <f>'20 въезд-выезд авто'!AH621</f>
        <v>2.3800000000000002E-2</v>
      </c>
    </row>
    <row r="768" spans="2:15" ht="17.25" customHeight="1" x14ac:dyDescent="0.25">
      <c r="B768" s="999"/>
      <c r="C768" s="529"/>
      <c r="D768" s="640" t="str">
        <f>'20 въезд-выезд авто'!AE622</f>
        <v>Углерод</v>
      </c>
      <c r="E768" s="703" t="str">
        <f>'20 въезд-выезд авто'!AF622</f>
        <v>0328</v>
      </c>
      <c r="F768" s="645"/>
      <c r="G768" s="645"/>
      <c r="H768" s="645"/>
      <c r="I768" s="645"/>
      <c r="J768" s="645"/>
      <c r="K768" s="645"/>
      <c r="L768" s="645">
        <f>'20 въезд-выезд авто'!AG285</f>
        <v>8.9999999999999998E-4</v>
      </c>
      <c r="M768" s="645">
        <f>'20 въезд-выезд авто'!AH285</f>
        <v>2.3000000000000001E-4</v>
      </c>
      <c r="N768" s="645">
        <f>'20 въезд-выезд авто'!AG622</f>
        <v>8.9999999999999998E-4</v>
      </c>
      <c r="O768" s="645">
        <f>'20 въезд-выезд авто'!AH622</f>
        <v>4.2999999999999999E-4</v>
      </c>
    </row>
    <row r="769" spans="2:15" ht="16.5" customHeight="1" x14ac:dyDescent="0.25">
      <c r="B769" s="998" t="s">
        <v>361</v>
      </c>
      <c r="C769" s="525" t="s">
        <v>362</v>
      </c>
      <c r="D769" s="626" t="str">
        <f>'19 работа техники'!AB124</f>
        <v>Азота диоксид</v>
      </c>
      <c r="E769" s="681" t="str">
        <f>'19 работа техники'!AC124</f>
        <v>0301</v>
      </c>
      <c r="F769" s="631"/>
      <c r="G769" s="631"/>
      <c r="H769" s="631">
        <f>'19 работа техники'!AD124</f>
        <v>8.1000000000000003E-2</v>
      </c>
      <c r="I769" s="631">
        <f>'19 работа техники'!AE124</f>
        <v>0.54820000000000002</v>
      </c>
      <c r="J769" s="631">
        <f>'19 работа техники'!AD124</f>
        <v>8.1000000000000003E-2</v>
      </c>
      <c r="K769" s="631">
        <f>'19 работа техники'!AE124</f>
        <v>0.54820000000000002</v>
      </c>
      <c r="L769" s="631">
        <f>'19 работа техники'!AD124</f>
        <v>8.1000000000000003E-2</v>
      </c>
      <c r="M769" s="631">
        <f>'19 работа техники'!AE124</f>
        <v>0.54820000000000002</v>
      </c>
      <c r="N769" s="631">
        <f>'19 работа техники'!AD124</f>
        <v>8.1000000000000003E-2</v>
      </c>
      <c r="O769" s="631">
        <f>'19 работа техники'!AE124</f>
        <v>0.54820000000000002</v>
      </c>
    </row>
    <row r="770" spans="2:15" x14ac:dyDescent="0.25">
      <c r="B770" s="999"/>
      <c r="C770" s="528"/>
      <c r="D770" s="633" t="str">
        <f>'19 работа техники'!AB125</f>
        <v>Азота оксид</v>
      </c>
      <c r="E770" s="682" t="str">
        <f>'19 работа техники'!AC125</f>
        <v>0304</v>
      </c>
      <c r="F770" s="638"/>
      <c r="G770" s="638"/>
      <c r="H770" s="638">
        <f>'19 работа техники'!AD125</f>
        <v>1.32E-2</v>
      </c>
      <c r="I770" s="638">
        <f>'19 работа техники'!AE125</f>
        <v>8.9100000000000013E-2</v>
      </c>
      <c r="J770" s="638">
        <f>'19 работа техники'!AD125</f>
        <v>1.32E-2</v>
      </c>
      <c r="K770" s="638">
        <f>'19 работа техники'!AE125</f>
        <v>8.9100000000000013E-2</v>
      </c>
      <c r="L770" s="638">
        <f>'19 работа техники'!AD125</f>
        <v>1.32E-2</v>
      </c>
      <c r="M770" s="638">
        <f>'19 работа техники'!AE125</f>
        <v>8.9100000000000013E-2</v>
      </c>
      <c r="N770" s="638">
        <f>'19 работа техники'!AD125</f>
        <v>1.32E-2</v>
      </c>
      <c r="O770" s="638">
        <f>'19 работа техники'!AE125</f>
        <v>8.9100000000000013E-2</v>
      </c>
    </row>
    <row r="771" spans="2:15" x14ac:dyDescent="0.25">
      <c r="B771" s="999"/>
      <c r="C771" s="528"/>
      <c r="D771" s="633" t="str">
        <f>'19 работа техники'!AB126</f>
        <v>Серы диоксид</v>
      </c>
      <c r="E771" s="682" t="str">
        <f>'19 работа техники'!AC126</f>
        <v>0330</v>
      </c>
      <c r="F771" s="638"/>
      <c r="G771" s="638"/>
      <c r="H771" s="638">
        <f>'19 работа техники'!AD126</f>
        <v>9.2999999999999992E-3</v>
      </c>
      <c r="I771" s="638">
        <f>'19 работа техники'!AE126</f>
        <v>5.91E-2</v>
      </c>
      <c r="J771" s="638">
        <f>'19 работа техники'!AD126</f>
        <v>9.2999999999999992E-3</v>
      </c>
      <c r="K771" s="638">
        <f>'19 работа техники'!AE126</f>
        <v>5.91E-2</v>
      </c>
      <c r="L771" s="638">
        <f>'19 работа техники'!AD126</f>
        <v>9.2999999999999992E-3</v>
      </c>
      <c r="M771" s="638">
        <f>'19 работа техники'!AE126</f>
        <v>5.91E-2</v>
      </c>
      <c r="N771" s="638">
        <f>'19 работа техники'!AD126</f>
        <v>9.2999999999999992E-3</v>
      </c>
      <c r="O771" s="638">
        <f>'19 работа техники'!AE126</f>
        <v>5.91E-2</v>
      </c>
    </row>
    <row r="772" spans="2:15" x14ac:dyDescent="0.25">
      <c r="B772" s="999"/>
      <c r="C772" s="528"/>
      <c r="D772" s="633" t="str">
        <f>'19 работа техники'!AB127</f>
        <v>Керосин</v>
      </c>
      <c r="E772" s="682" t="str">
        <f>'19 работа техники'!AC127</f>
        <v>2732</v>
      </c>
      <c r="F772" s="638"/>
      <c r="G772" s="638"/>
      <c r="H772" s="638">
        <f>'19 работа техники'!AD127</f>
        <v>2.1100000000000001E-2</v>
      </c>
      <c r="I772" s="638">
        <f>'19 работа техники'!AE127</f>
        <v>0.13439999999999999</v>
      </c>
      <c r="J772" s="638">
        <f>'19 работа техники'!AD127</f>
        <v>2.1100000000000001E-2</v>
      </c>
      <c r="K772" s="638">
        <f>'19 работа техники'!AE127</f>
        <v>0.13439999999999999</v>
      </c>
      <c r="L772" s="638">
        <f>'19 работа техники'!AD127</f>
        <v>2.1100000000000001E-2</v>
      </c>
      <c r="M772" s="638">
        <f>'19 работа техники'!AE127</f>
        <v>0.13439999999999999</v>
      </c>
      <c r="N772" s="638">
        <f>'19 работа техники'!AD127</f>
        <v>2.1100000000000001E-2</v>
      </c>
      <c r="O772" s="638">
        <f>'19 работа техники'!AE127</f>
        <v>0.13439999999999999</v>
      </c>
    </row>
    <row r="773" spans="2:15" x14ac:dyDescent="0.25">
      <c r="B773" s="999"/>
      <c r="C773" s="528"/>
      <c r="D773" s="633" t="str">
        <f>'19 работа техники'!AB128</f>
        <v xml:space="preserve">Углерод </v>
      </c>
      <c r="E773" s="682" t="str">
        <f>'19 работа техники'!AC128</f>
        <v>0328</v>
      </c>
      <c r="F773" s="638"/>
      <c r="G773" s="638"/>
      <c r="H773" s="638">
        <f>'19 работа техники'!AD128</f>
        <v>1.5100000000000001E-2</v>
      </c>
      <c r="I773" s="638">
        <f>'19 работа техники'!AE128</f>
        <v>8.5000000000000006E-2</v>
      </c>
      <c r="J773" s="638">
        <f>'19 работа техники'!AD128</f>
        <v>1.5100000000000001E-2</v>
      </c>
      <c r="K773" s="638">
        <f>'19 работа техники'!AE128</f>
        <v>8.5000000000000006E-2</v>
      </c>
      <c r="L773" s="638">
        <f>'19 работа техники'!AD128</f>
        <v>1.5100000000000001E-2</v>
      </c>
      <c r="M773" s="638">
        <f>'19 работа техники'!AE128</f>
        <v>8.5000000000000006E-2</v>
      </c>
      <c r="N773" s="638">
        <f>'19 работа техники'!AD128</f>
        <v>1.5100000000000001E-2</v>
      </c>
      <c r="O773" s="638">
        <f>'19 работа техники'!AE128</f>
        <v>8.5000000000000006E-2</v>
      </c>
    </row>
    <row r="774" spans="2:15" x14ac:dyDescent="0.25">
      <c r="B774" s="999"/>
      <c r="C774" s="529"/>
      <c r="D774" s="640" t="str">
        <f>'19 работа техники'!AB129</f>
        <v>Углерода оксид</v>
      </c>
      <c r="E774" s="660" t="str">
        <f>'19 работа техники'!AC129</f>
        <v>0337</v>
      </c>
      <c r="F774" s="645"/>
      <c r="G774" s="645"/>
      <c r="H774" s="645">
        <f>'19 работа техники'!AD129</f>
        <v>7.6499999999999999E-2</v>
      </c>
      <c r="I774" s="645">
        <f>'19 работа техники'!AE129</f>
        <v>0.4718</v>
      </c>
      <c r="J774" s="645">
        <f>'19 работа техники'!AD129</f>
        <v>7.6499999999999999E-2</v>
      </c>
      <c r="K774" s="645">
        <f>'19 работа техники'!AE129</f>
        <v>0.4718</v>
      </c>
      <c r="L774" s="645">
        <f>'19 работа техники'!AD129</f>
        <v>7.6499999999999999E-2</v>
      </c>
      <c r="M774" s="645">
        <f>'19 работа техники'!AE129</f>
        <v>0.4718</v>
      </c>
      <c r="N774" s="645">
        <f>'19 работа техники'!AD129</f>
        <v>7.6499999999999999E-2</v>
      </c>
      <c r="O774" s="645">
        <f>'19 работа техники'!AE129</f>
        <v>0.4718</v>
      </c>
    </row>
    <row r="775" spans="2:15" ht="16.5" customHeight="1" x14ac:dyDescent="0.25">
      <c r="B775" s="998" t="s">
        <v>367</v>
      </c>
      <c r="C775" s="525" t="s">
        <v>1175</v>
      </c>
      <c r="D775" s="626" t="str">
        <f>'19 работа техники'!AB132</f>
        <v>Азота диоксид</v>
      </c>
      <c r="E775" s="681" t="str">
        <f>'19 работа техники'!AC132</f>
        <v>0301</v>
      </c>
      <c r="F775" s="631"/>
      <c r="G775" s="631"/>
      <c r="H775" s="631"/>
      <c r="I775" s="631"/>
      <c r="J775" s="631"/>
      <c r="K775" s="631"/>
      <c r="L775" s="631">
        <f>'19 работа техники'!AD132</f>
        <v>8.1000000000000003E-2</v>
      </c>
      <c r="M775" s="631">
        <f>'19 работа техники'!AE132</f>
        <v>0.4456</v>
      </c>
      <c r="N775" s="631">
        <f>'19 работа техники'!AD132</f>
        <v>8.1000000000000003E-2</v>
      </c>
      <c r="O775" s="631">
        <f>'19 работа техники'!AE132</f>
        <v>0.4456</v>
      </c>
    </row>
    <row r="776" spans="2:15" x14ac:dyDescent="0.25">
      <c r="B776" s="999"/>
      <c r="C776" s="528"/>
      <c r="D776" s="633" t="str">
        <f>'19 работа техники'!AB133</f>
        <v>Азота оксид</v>
      </c>
      <c r="E776" s="682" t="str">
        <f>'19 работа техники'!AC133</f>
        <v>0304</v>
      </c>
      <c r="F776" s="638"/>
      <c r="G776" s="638"/>
      <c r="H776" s="638"/>
      <c r="I776" s="638"/>
      <c r="J776" s="638"/>
      <c r="K776" s="638"/>
      <c r="L776" s="638">
        <f>'19 работа техники'!AD133</f>
        <v>1.32E-2</v>
      </c>
      <c r="M776" s="638">
        <f>'19 работа техники'!AE133</f>
        <v>7.2400000000000006E-2</v>
      </c>
      <c r="N776" s="638">
        <f>'19 работа техники'!AD133</f>
        <v>1.32E-2</v>
      </c>
      <c r="O776" s="638">
        <f>'19 работа техники'!AE133</f>
        <v>7.2400000000000006E-2</v>
      </c>
    </row>
    <row r="777" spans="2:15" x14ac:dyDescent="0.25">
      <c r="B777" s="999"/>
      <c r="C777" s="528"/>
      <c r="D777" s="633" t="str">
        <f>'19 работа техники'!AB134</f>
        <v>Серы диоксид</v>
      </c>
      <c r="E777" s="682" t="str">
        <f>'19 работа техники'!AC134</f>
        <v>0330</v>
      </c>
      <c r="F777" s="638"/>
      <c r="G777" s="638"/>
      <c r="H777" s="638"/>
      <c r="I777" s="638"/>
      <c r="J777" s="638"/>
      <c r="K777" s="638"/>
      <c r="L777" s="638">
        <f>'19 работа техники'!AD134</f>
        <v>9.2999999999999992E-3</v>
      </c>
      <c r="M777" s="638">
        <f>'19 работа техники'!AE134</f>
        <v>4.7800000000000002E-2</v>
      </c>
      <c r="N777" s="638">
        <f>'19 работа техники'!AD134</f>
        <v>9.2999999999999992E-3</v>
      </c>
      <c r="O777" s="638">
        <f>'19 работа техники'!AE134</f>
        <v>4.7800000000000002E-2</v>
      </c>
    </row>
    <row r="778" spans="2:15" x14ac:dyDescent="0.25">
      <c r="B778" s="999"/>
      <c r="C778" s="528"/>
      <c r="D778" s="633" t="str">
        <f>'19 работа техники'!AB135</f>
        <v>Керосин</v>
      </c>
      <c r="E778" s="682" t="str">
        <f>'19 работа техники'!AC135</f>
        <v>2732</v>
      </c>
      <c r="F778" s="638"/>
      <c r="G778" s="638"/>
      <c r="H778" s="638"/>
      <c r="I778" s="638"/>
      <c r="J778" s="638"/>
      <c r="K778" s="638"/>
      <c r="L778" s="638">
        <f>'19 работа техники'!AD135</f>
        <v>2.1100000000000001E-2</v>
      </c>
      <c r="M778" s="638">
        <f>'19 работа техники'!AE135</f>
        <v>0.1095</v>
      </c>
      <c r="N778" s="638">
        <f>'19 работа техники'!AD135</f>
        <v>2.1100000000000001E-2</v>
      </c>
      <c r="O778" s="638">
        <f>'19 работа техники'!AE135</f>
        <v>0.1095</v>
      </c>
    </row>
    <row r="779" spans="2:15" x14ac:dyDescent="0.25">
      <c r="B779" s="999"/>
      <c r="C779" s="528"/>
      <c r="D779" s="633" t="str">
        <f>'19 работа техники'!AB136</f>
        <v xml:space="preserve">Углерод </v>
      </c>
      <c r="E779" s="682" t="str">
        <f>'19 работа техники'!AC136</f>
        <v>0328</v>
      </c>
      <c r="F779" s="638"/>
      <c r="G779" s="638"/>
      <c r="H779" s="638"/>
      <c r="I779" s="638"/>
      <c r="J779" s="638"/>
      <c r="K779" s="638"/>
      <c r="L779" s="638">
        <f>'19 работа техники'!AD136</f>
        <v>1.5100000000000001E-2</v>
      </c>
      <c r="M779" s="638">
        <f>'19 работа техники'!AE136</f>
        <v>6.8900000000000003E-2</v>
      </c>
      <c r="N779" s="638">
        <f>'19 работа техники'!AD136</f>
        <v>1.5100000000000001E-2</v>
      </c>
      <c r="O779" s="638">
        <f>'19 работа техники'!AE136</f>
        <v>6.8900000000000003E-2</v>
      </c>
    </row>
    <row r="780" spans="2:15" x14ac:dyDescent="0.25">
      <c r="B780" s="999"/>
      <c r="C780" s="529"/>
      <c r="D780" s="640" t="str">
        <f>'19 работа техники'!AB137</f>
        <v>Углерода оксид</v>
      </c>
      <c r="E780" s="660" t="str">
        <f>'19 работа техники'!AC137</f>
        <v>0337</v>
      </c>
      <c r="F780" s="645"/>
      <c r="G780" s="645"/>
      <c r="H780" s="645"/>
      <c r="I780" s="645"/>
      <c r="J780" s="645"/>
      <c r="K780" s="645"/>
      <c r="L780" s="645">
        <f>'19 работа техники'!AD137</f>
        <v>7.6499999999999999E-2</v>
      </c>
      <c r="M780" s="645">
        <f>'19 работа техники'!AE137</f>
        <v>0.38400000000000001</v>
      </c>
      <c r="N780" s="645">
        <f>'19 работа техники'!AD137</f>
        <v>7.6499999999999999E-2</v>
      </c>
      <c r="O780" s="645">
        <f>'19 работа техники'!AE137</f>
        <v>0.38400000000000001</v>
      </c>
    </row>
    <row r="781" spans="2:15" ht="16.5" customHeight="1" x14ac:dyDescent="0.25">
      <c r="B781" s="998" t="s">
        <v>368</v>
      </c>
      <c r="C781" s="525" t="s">
        <v>369</v>
      </c>
      <c r="D781" s="626" t="str">
        <f>'19 работа техники'!AB151</f>
        <v>Азота диоксид</v>
      </c>
      <c r="E781" s="681" t="str">
        <f>'19 работа техники'!AC151</f>
        <v>0301</v>
      </c>
      <c r="F781" s="631"/>
      <c r="G781" s="631"/>
      <c r="H781" s="631"/>
      <c r="I781" s="631"/>
      <c r="J781" s="631"/>
      <c r="K781" s="631"/>
      <c r="L781" s="631">
        <f>'19 работа техники'!AD151</f>
        <v>8.1000000000000003E-2</v>
      </c>
      <c r="M781" s="631">
        <f>'19 работа техники'!AE151</f>
        <v>0.61560000000000004</v>
      </c>
      <c r="N781" s="631">
        <f>'19 работа техники'!AD151</f>
        <v>8.1000000000000003E-2</v>
      </c>
      <c r="O781" s="631">
        <f>'19 работа техники'!AE151</f>
        <v>0.61560000000000004</v>
      </c>
    </row>
    <row r="782" spans="2:15" x14ac:dyDescent="0.25">
      <c r="B782" s="999"/>
      <c r="C782" s="528"/>
      <c r="D782" s="633" t="str">
        <f>'19 работа техники'!AB152</f>
        <v>Азота оксид</v>
      </c>
      <c r="E782" s="682" t="str">
        <f>'19 работа техники'!AC152</f>
        <v>0304</v>
      </c>
      <c r="F782" s="638"/>
      <c r="G782" s="638"/>
      <c r="H782" s="638"/>
      <c r="I782" s="638"/>
      <c r="J782" s="638"/>
      <c r="K782" s="638"/>
      <c r="L782" s="638">
        <f>'19 работа техники'!AD152</f>
        <v>1.32E-2</v>
      </c>
      <c r="M782" s="638">
        <f>'19 работа техники'!AE152</f>
        <v>0.1</v>
      </c>
      <c r="N782" s="638">
        <f>'19 работа техники'!AD152</f>
        <v>1.32E-2</v>
      </c>
      <c r="O782" s="638">
        <f>'19 работа техники'!AE152</f>
        <v>0.1</v>
      </c>
    </row>
    <row r="783" spans="2:15" x14ac:dyDescent="0.25">
      <c r="B783" s="999"/>
      <c r="C783" s="528"/>
      <c r="D783" s="633" t="str">
        <f>'19 работа техники'!AB153</f>
        <v>Серы диоксид</v>
      </c>
      <c r="E783" s="682" t="str">
        <f>'19 работа техники'!AC153</f>
        <v>0330</v>
      </c>
      <c r="F783" s="638"/>
      <c r="G783" s="638"/>
      <c r="H783" s="638"/>
      <c r="I783" s="638"/>
      <c r="J783" s="638"/>
      <c r="K783" s="638"/>
      <c r="L783" s="638">
        <f>'19 работа техники'!AD153</f>
        <v>9.2999999999999992E-3</v>
      </c>
      <c r="M783" s="638">
        <f>'19 работа техники'!AE153</f>
        <v>6.5600000000000006E-2</v>
      </c>
      <c r="N783" s="638">
        <f>'19 работа техники'!AD153</f>
        <v>9.2999999999999992E-3</v>
      </c>
      <c r="O783" s="638">
        <f>'19 работа техники'!AE153</f>
        <v>6.5600000000000006E-2</v>
      </c>
    </row>
    <row r="784" spans="2:15" x14ac:dyDescent="0.25">
      <c r="B784" s="999"/>
      <c r="C784" s="528"/>
      <c r="D784" s="633" t="str">
        <f>'19 работа техники'!AB154</f>
        <v>Керосин</v>
      </c>
      <c r="E784" s="682" t="str">
        <f>'19 работа техники'!AC154</f>
        <v>2732</v>
      </c>
      <c r="F784" s="638"/>
      <c r="G784" s="638"/>
      <c r="H784" s="638"/>
      <c r="I784" s="638"/>
      <c r="J784" s="638"/>
      <c r="K784" s="638"/>
      <c r="L784" s="638">
        <f>'19 работа техники'!AD154</f>
        <v>2.1100000000000001E-2</v>
      </c>
      <c r="M784" s="638">
        <f>'19 работа техники'!AE154</f>
        <v>0.1507</v>
      </c>
      <c r="N784" s="638">
        <f>'19 работа техники'!AD154</f>
        <v>2.1100000000000001E-2</v>
      </c>
      <c r="O784" s="638">
        <f>'19 работа техники'!AE154</f>
        <v>0.1507</v>
      </c>
    </row>
    <row r="785" spans="2:15" x14ac:dyDescent="0.25">
      <c r="B785" s="999"/>
      <c r="C785" s="528"/>
      <c r="D785" s="633" t="str">
        <f>'19 работа техники'!AB155</f>
        <v xml:space="preserve">Углерод </v>
      </c>
      <c r="E785" s="682" t="str">
        <f>'19 работа техники'!AC155</f>
        <v>0328</v>
      </c>
      <c r="F785" s="638"/>
      <c r="G785" s="638"/>
      <c r="H785" s="638"/>
      <c r="I785" s="638"/>
      <c r="J785" s="638"/>
      <c r="K785" s="638"/>
      <c r="L785" s="638">
        <f>'19 работа техники'!AD155</f>
        <v>1.5100000000000001E-2</v>
      </c>
      <c r="M785" s="638">
        <f>'19 работа техники'!AE155</f>
        <v>9.4700000000000006E-2</v>
      </c>
      <c r="N785" s="638">
        <f>'19 работа техники'!AD155</f>
        <v>1.5100000000000001E-2</v>
      </c>
      <c r="O785" s="638">
        <f>'19 работа техники'!AE155</f>
        <v>9.4700000000000006E-2</v>
      </c>
    </row>
    <row r="786" spans="2:15" x14ac:dyDescent="0.25">
      <c r="B786" s="999"/>
      <c r="C786" s="529"/>
      <c r="D786" s="640" t="str">
        <f>'19 работа техники'!AB156</f>
        <v>Углерода оксид</v>
      </c>
      <c r="E786" s="660" t="str">
        <f>'19 работа техники'!AC156</f>
        <v>0337</v>
      </c>
      <c r="F786" s="645"/>
      <c r="G786" s="645"/>
      <c r="H786" s="645"/>
      <c r="I786" s="645"/>
      <c r="J786" s="645"/>
      <c r="K786" s="645"/>
      <c r="L786" s="645">
        <f>'19 работа техники'!AD156</f>
        <v>7.6499999999999999E-2</v>
      </c>
      <c r="M786" s="645">
        <f>'19 работа техники'!AE156</f>
        <v>0.53069999999999995</v>
      </c>
      <c r="N786" s="645">
        <f>'19 работа техники'!AD156</f>
        <v>7.6499999999999999E-2</v>
      </c>
      <c r="O786" s="645">
        <f>'19 работа техники'!AE156</f>
        <v>0.53069999999999995</v>
      </c>
    </row>
    <row r="787" spans="2:15" ht="16.5" customHeight="1" x14ac:dyDescent="0.25">
      <c r="B787" s="998" t="s">
        <v>397</v>
      </c>
      <c r="C787" s="525" t="s">
        <v>403</v>
      </c>
      <c r="D787" s="626" t="str">
        <f>'19 работа техники'!AB170</f>
        <v>Азота диоксид</v>
      </c>
      <c r="E787" s="681" t="str">
        <f>'19 работа техники'!AC170</f>
        <v>0301</v>
      </c>
      <c r="F787" s="631"/>
      <c r="G787" s="631"/>
      <c r="H787" s="631"/>
      <c r="I787" s="631"/>
      <c r="J787" s="631"/>
      <c r="K787" s="631"/>
      <c r="L787" s="631">
        <f>'19 работа техники'!AD170</f>
        <v>8.1000000000000003E-2</v>
      </c>
      <c r="M787" s="631">
        <f>'19 работа техники'!AE170</f>
        <v>1.3168</v>
      </c>
      <c r="N787" s="631">
        <f>'19 работа техники'!AD170</f>
        <v>8.1000000000000003E-2</v>
      </c>
      <c r="O787" s="631">
        <f>'19 работа техники'!AE170</f>
        <v>1.3168</v>
      </c>
    </row>
    <row r="788" spans="2:15" x14ac:dyDescent="0.25">
      <c r="B788" s="999"/>
      <c r="C788" s="528" t="s">
        <v>166</v>
      </c>
      <c r="D788" s="633" t="str">
        <f>'19 работа техники'!AB171</f>
        <v>Азота оксид</v>
      </c>
      <c r="E788" s="682" t="str">
        <f>'19 работа техники'!AC171</f>
        <v>0304</v>
      </c>
      <c r="F788" s="638"/>
      <c r="G788" s="638"/>
      <c r="H788" s="638"/>
      <c r="I788" s="638"/>
      <c r="J788" s="638"/>
      <c r="K788" s="638"/>
      <c r="L788" s="638">
        <f>'19 работа техники'!AD171</f>
        <v>1.32E-2</v>
      </c>
      <c r="M788" s="638">
        <f>'19 работа техники'!AE171</f>
        <v>0.214</v>
      </c>
      <c r="N788" s="638">
        <f>'19 работа техники'!AD171</f>
        <v>1.32E-2</v>
      </c>
      <c r="O788" s="638">
        <f>'19 работа техники'!AE171</f>
        <v>0.214</v>
      </c>
    </row>
    <row r="789" spans="2:15" x14ac:dyDescent="0.25">
      <c r="B789" s="999"/>
      <c r="C789" s="528"/>
      <c r="D789" s="633" t="str">
        <f>'19 работа техники'!AB172</f>
        <v>Серы диоксид</v>
      </c>
      <c r="E789" s="682" t="str">
        <f>'19 работа техники'!AC172</f>
        <v>0330</v>
      </c>
      <c r="F789" s="638"/>
      <c r="G789" s="638"/>
      <c r="H789" s="638"/>
      <c r="I789" s="638"/>
      <c r="J789" s="638"/>
      <c r="K789" s="638"/>
      <c r="L789" s="638">
        <f>'19 работа техники'!AD172</f>
        <v>9.2999999999999992E-3</v>
      </c>
      <c r="M789" s="638">
        <f>'19 работа техники'!AE172</f>
        <v>0.1474</v>
      </c>
      <c r="N789" s="638">
        <f>'19 работа техники'!AD172</f>
        <v>9.2999999999999992E-3</v>
      </c>
      <c r="O789" s="638">
        <f>'19 работа техники'!AE172</f>
        <v>0.1474</v>
      </c>
    </row>
    <row r="790" spans="2:15" x14ac:dyDescent="0.25">
      <c r="B790" s="999"/>
      <c r="C790" s="528"/>
      <c r="D790" s="633" t="str">
        <f>'19 работа техники'!AB173</f>
        <v>Керосин</v>
      </c>
      <c r="E790" s="682" t="str">
        <f>'19 работа техники'!AC173</f>
        <v>2732</v>
      </c>
      <c r="F790" s="638"/>
      <c r="G790" s="638"/>
      <c r="H790" s="638"/>
      <c r="I790" s="638"/>
      <c r="J790" s="638"/>
      <c r="K790" s="638"/>
      <c r="L790" s="638">
        <f>'19 работа техники'!AD173</f>
        <v>2.1100000000000001E-2</v>
      </c>
      <c r="M790" s="638">
        <f>'19 работа техники'!AE173</f>
        <v>0.33500000000000002</v>
      </c>
      <c r="N790" s="638">
        <f>'19 работа техники'!AD173</f>
        <v>2.1100000000000001E-2</v>
      </c>
      <c r="O790" s="638">
        <f>'19 работа техники'!AE173</f>
        <v>0.33500000000000002</v>
      </c>
    </row>
    <row r="791" spans="2:15" x14ac:dyDescent="0.25">
      <c r="B791" s="999"/>
      <c r="C791" s="528"/>
      <c r="D791" s="633" t="str">
        <f>'19 работа техники'!AB174</f>
        <v xml:space="preserve">Углерод </v>
      </c>
      <c r="E791" s="682" t="str">
        <f>'19 работа техники'!AC174</f>
        <v>0328</v>
      </c>
      <c r="F791" s="638"/>
      <c r="G791" s="638"/>
      <c r="H791" s="638"/>
      <c r="I791" s="638"/>
      <c r="J791" s="638"/>
      <c r="K791" s="638"/>
      <c r="L791" s="638">
        <f>'19 работа техники'!AD174</f>
        <v>1.5100000000000001E-2</v>
      </c>
      <c r="M791" s="638">
        <f>'19 работа техники'!AE174</f>
        <v>0.2228</v>
      </c>
      <c r="N791" s="638">
        <f>'19 работа техники'!AD174</f>
        <v>1.5100000000000001E-2</v>
      </c>
      <c r="O791" s="638">
        <f>'19 работа техники'!AE174</f>
        <v>0.2228</v>
      </c>
    </row>
    <row r="792" spans="2:15" x14ac:dyDescent="0.25">
      <c r="B792" s="999"/>
      <c r="C792" s="529"/>
      <c r="D792" s="640" t="str">
        <f>'19 работа техники'!AB175</f>
        <v>Углерода оксид</v>
      </c>
      <c r="E792" s="660" t="str">
        <f>'19 работа техники'!AC175</f>
        <v>0337</v>
      </c>
      <c r="F792" s="645"/>
      <c r="G792" s="645"/>
      <c r="H792" s="645"/>
      <c r="I792" s="645"/>
      <c r="J792" s="645"/>
      <c r="K792" s="645"/>
      <c r="L792" s="645">
        <f>'19 работа техники'!AD175</f>
        <v>7.6499999999999999E-2</v>
      </c>
      <c r="M792" s="645">
        <f>'19 работа техники'!AE175</f>
        <v>1.1721999999999999</v>
      </c>
      <c r="N792" s="645">
        <f>'19 работа техники'!AD175</f>
        <v>7.6499999999999999E-2</v>
      </c>
      <c r="O792" s="645">
        <f>'19 работа техники'!AE175</f>
        <v>1.1721999999999999</v>
      </c>
    </row>
    <row r="793" spans="2:15" ht="16.5" customHeight="1" x14ac:dyDescent="0.25">
      <c r="B793" s="998" t="s">
        <v>1199</v>
      </c>
      <c r="C793" s="525" t="s">
        <v>767</v>
      </c>
      <c r="D793" s="626" t="str">
        <f>'19 работа техники'!AB726</f>
        <v>Азота диоксид</v>
      </c>
      <c r="E793" s="701" t="str">
        <f>'19 работа техники'!AC726</f>
        <v>0301</v>
      </c>
      <c r="F793" s="631"/>
      <c r="G793" s="631"/>
      <c r="H793" s="631"/>
      <c r="I793" s="631"/>
      <c r="J793" s="631"/>
      <c r="K793" s="631"/>
      <c r="L793" s="631">
        <f>'19 работа техники'!AD344</f>
        <v>8.1000000000000003E-2</v>
      </c>
      <c r="M793" s="631">
        <f>'19 работа техники'!AE344</f>
        <v>0.26290000000000002</v>
      </c>
      <c r="N793" s="631">
        <f>'19 работа техники'!AD726</f>
        <v>8.1000000000000003E-2</v>
      </c>
      <c r="O793" s="631">
        <f>'19 работа техники'!AE726</f>
        <v>1.0663</v>
      </c>
    </row>
    <row r="794" spans="2:15" x14ac:dyDescent="0.25">
      <c r="B794" s="999"/>
      <c r="C794" s="528" t="s">
        <v>166</v>
      </c>
      <c r="D794" s="633" t="str">
        <f>'19 работа техники'!AB727</f>
        <v>Азота оксид</v>
      </c>
      <c r="E794" s="702" t="str">
        <f>'19 работа техники'!AC727</f>
        <v>0304</v>
      </c>
      <c r="F794" s="638"/>
      <c r="G794" s="638"/>
      <c r="H794" s="638"/>
      <c r="I794" s="638"/>
      <c r="J794" s="638"/>
      <c r="K794" s="638"/>
      <c r="L794" s="638">
        <f>'19 работа техники'!AD345</f>
        <v>1.32E-2</v>
      </c>
      <c r="M794" s="638">
        <f>'19 работа техники'!AE345</f>
        <v>4.2700000000000002E-2</v>
      </c>
      <c r="N794" s="638">
        <f>'19 работа техники'!AD727</f>
        <v>1.32E-2</v>
      </c>
      <c r="O794" s="638">
        <f>'19 работа техники'!AE727</f>
        <v>0.17330000000000001</v>
      </c>
    </row>
    <row r="795" spans="2:15" x14ac:dyDescent="0.25">
      <c r="B795" s="999"/>
      <c r="C795" s="528"/>
      <c r="D795" s="633" t="str">
        <f>'19 работа техники'!AB728</f>
        <v>Серы диоксид</v>
      </c>
      <c r="E795" s="702" t="str">
        <f>'19 работа техники'!AC728</f>
        <v>0330</v>
      </c>
      <c r="F795" s="638"/>
      <c r="G795" s="638"/>
      <c r="H795" s="638"/>
      <c r="I795" s="638"/>
      <c r="J795" s="638"/>
      <c r="K795" s="638"/>
      <c r="L795" s="638">
        <f>'19 работа техники'!AD346</f>
        <v>9.2999999999999992E-3</v>
      </c>
      <c r="M795" s="638">
        <f>'19 работа техники'!AE346</f>
        <v>3.1800000000000002E-2</v>
      </c>
      <c r="N795" s="638">
        <f>'19 работа техники'!AD728</f>
        <v>9.2999999999999992E-3</v>
      </c>
      <c r="O795" s="638">
        <f>'19 работа техники'!AE728</f>
        <v>0.11849999999999999</v>
      </c>
    </row>
    <row r="796" spans="2:15" x14ac:dyDescent="0.25">
      <c r="B796" s="999"/>
      <c r="C796" s="528"/>
      <c r="D796" s="633" t="str">
        <f>'19 работа техники'!AB729</f>
        <v>Керосин</v>
      </c>
      <c r="E796" s="702" t="str">
        <f>'19 работа техники'!AC729</f>
        <v>2732</v>
      </c>
      <c r="F796" s="638"/>
      <c r="G796" s="638"/>
      <c r="H796" s="638"/>
      <c r="I796" s="638"/>
      <c r="J796" s="638"/>
      <c r="K796" s="638"/>
      <c r="L796" s="638">
        <f>'19 работа техники'!AD347</f>
        <v>2.1100000000000001E-2</v>
      </c>
      <c r="M796" s="638">
        <f>'19 работа техники'!AE347</f>
        <v>7.1900000000000006E-2</v>
      </c>
      <c r="N796" s="638">
        <f>'19 работа техники'!AD729</f>
        <v>2.1100000000000001E-2</v>
      </c>
      <c r="O796" s="638">
        <f>'19 работа техники'!AE729</f>
        <v>0.27160000000000001</v>
      </c>
    </row>
    <row r="797" spans="2:15" x14ac:dyDescent="0.25">
      <c r="B797" s="999"/>
      <c r="C797" s="528"/>
      <c r="D797" s="633" t="str">
        <f>'19 работа техники'!AB730</f>
        <v xml:space="preserve">Углерод </v>
      </c>
      <c r="E797" s="702" t="str">
        <f>'19 работа техники'!AC730</f>
        <v>0328</v>
      </c>
      <c r="F797" s="638"/>
      <c r="G797" s="638"/>
      <c r="H797" s="638"/>
      <c r="I797" s="638"/>
      <c r="J797" s="638"/>
      <c r="K797" s="638"/>
      <c r="L797" s="638">
        <f>'19 работа техники'!AD348</f>
        <v>1.5100000000000001E-2</v>
      </c>
      <c r="M797" s="638">
        <f>'19 работа техники'!AE348</f>
        <v>5.2699999999999997E-2</v>
      </c>
      <c r="N797" s="638">
        <f>'19 работа техники'!AD730</f>
        <v>1.5100000000000001E-2</v>
      </c>
      <c r="O797" s="638">
        <f>'19 работа техники'!AE730</f>
        <v>0.18059999999999998</v>
      </c>
    </row>
    <row r="798" spans="2:15" x14ac:dyDescent="0.25">
      <c r="B798" s="999"/>
      <c r="C798" s="529"/>
      <c r="D798" s="640" t="str">
        <f>'19 работа техники'!AB731</f>
        <v>Углерода оксид</v>
      </c>
      <c r="E798" s="703" t="str">
        <f>'19 работа техники'!AC731</f>
        <v>0337</v>
      </c>
      <c r="F798" s="645"/>
      <c r="G798" s="645"/>
      <c r="H798" s="645"/>
      <c r="I798" s="645"/>
      <c r="J798" s="645"/>
      <c r="K798" s="645"/>
      <c r="L798" s="645">
        <f>'19 работа техники'!AD349</f>
        <v>7.6499999999999999E-2</v>
      </c>
      <c r="M798" s="645">
        <f>'19 работа техники'!AE349</f>
        <v>0.25029999999999997</v>
      </c>
      <c r="N798" s="645">
        <f>'19 работа техники'!AD731</f>
        <v>7.6499999999999999E-2</v>
      </c>
      <c r="O798" s="645">
        <f>'19 работа техники'!AE731</f>
        <v>0.9496</v>
      </c>
    </row>
    <row r="799" spans="2:15" ht="16.5" customHeight="1" x14ac:dyDescent="0.25">
      <c r="B799" s="998" t="s">
        <v>1200</v>
      </c>
      <c r="C799" s="525" t="s">
        <v>771</v>
      </c>
      <c r="D799" s="626" t="str">
        <f>'19 работа техники'!AB745</f>
        <v>Азота диоксид</v>
      </c>
      <c r="E799" s="701" t="str">
        <f>'19 работа техники'!AC745</f>
        <v>0301</v>
      </c>
      <c r="F799" s="631"/>
      <c r="G799" s="631"/>
      <c r="H799" s="631"/>
      <c r="I799" s="631"/>
      <c r="J799" s="631"/>
      <c r="K799" s="631"/>
      <c r="L799" s="631">
        <f>'19 работа техники'!AD363</f>
        <v>8.1000000000000003E-2</v>
      </c>
      <c r="M799" s="631">
        <f>'19 работа техники'!AE363</f>
        <v>0.26290000000000002</v>
      </c>
      <c r="N799" s="631">
        <f>'19 работа техники'!AD745</f>
        <v>8.1000000000000003E-2</v>
      </c>
      <c r="O799" s="631">
        <f>'19 работа техники'!AE745</f>
        <v>1.0663</v>
      </c>
    </row>
    <row r="800" spans="2:15" x14ac:dyDescent="0.25">
      <c r="B800" s="999"/>
      <c r="C800" s="528" t="s">
        <v>166</v>
      </c>
      <c r="D800" s="633" t="str">
        <f>'19 работа техники'!AB746</f>
        <v>Азота оксид</v>
      </c>
      <c r="E800" s="702" t="str">
        <f>'19 работа техники'!AC746</f>
        <v>0304</v>
      </c>
      <c r="F800" s="638"/>
      <c r="G800" s="638"/>
      <c r="H800" s="638"/>
      <c r="I800" s="638"/>
      <c r="J800" s="638"/>
      <c r="K800" s="638"/>
      <c r="L800" s="638">
        <f>'19 работа техники'!AD364</f>
        <v>1.32E-2</v>
      </c>
      <c r="M800" s="638">
        <f>'19 работа техники'!AE364</f>
        <v>4.2700000000000002E-2</v>
      </c>
      <c r="N800" s="638">
        <f>'19 работа техники'!AD746</f>
        <v>1.32E-2</v>
      </c>
      <c r="O800" s="638">
        <f>'19 работа техники'!AE746</f>
        <v>0.17330000000000001</v>
      </c>
    </row>
    <row r="801" spans="2:15" x14ac:dyDescent="0.25">
      <c r="B801" s="999"/>
      <c r="C801" s="528"/>
      <c r="D801" s="633" t="str">
        <f>'19 работа техники'!AB747</f>
        <v>Серы диоксид</v>
      </c>
      <c r="E801" s="702" t="str">
        <f>'19 работа техники'!AC747</f>
        <v>0330</v>
      </c>
      <c r="F801" s="638"/>
      <c r="G801" s="638"/>
      <c r="H801" s="638"/>
      <c r="I801" s="638"/>
      <c r="J801" s="638"/>
      <c r="K801" s="638"/>
      <c r="L801" s="638">
        <f>'19 работа техники'!AD365</f>
        <v>9.2999999999999992E-3</v>
      </c>
      <c r="M801" s="638">
        <f>'19 работа техники'!AE365</f>
        <v>3.1800000000000002E-2</v>
      </c>
      <c r="N801" s="638">
        <f>'19 работа техники'!AD747</f>
        <v>9.2999999999999992E-3</v>
      </c>
      <c r="O801" s="638">
        <f>'19 работа техники'!AE747</f>
        <v>0.11849999999999999</v>
      </c>
    </row>
    <row r="802" spans="2:15" x14ac:dyDescent="0.25">
      <c r="B802" s="999"/>
      <c r="C802" s="528"/>
      <c r="D802" s="633" t="str">
        <f>'19 работа техники'!AB748</f>
        <v>Керосин</v>
      </c>
      <c r="E802" s="702" t="str">
        <f>'19 работа техники'!AC748</f>
        <v>2732</v>
      </c>
      <c r="F802" s="638"/>
      <c r="G802" s="638"/>
      <c r="H802" s="638"/>
      <c r="I802" s="638"/>
      <c r="J802" s="638"/>
      <c r="K802" s="638"/>
      <c r="L802" s="638">
        <f>'19 работа техники'!AD366</f>
        <v>2.1100000000000001E-2</v>
      </c>
      <c r="M802" s="638">
        <f>'19 работа техники'!AE366</f>
        <v>7.1900000000000006E-2</v>
      </c>
      <c r="N802" s="638">
        <f>'19 работа техники'!AD748</f>
        <v>2.1100000000000001E-2</v>
      </c>
      <c r="O802" s="638">
        <f>'19 работа техники'!AE748</f>
        <v>0.27160000000000001</v>
      </c>
    </row>
    <row r="803" spans="2:15" x14ac:dyDescent="0.25">
      <c r="B803" s="999"/>
      <c r="C803" s="528"/>
      <c r="D803" s="633" t="str">
        <f>'19 работа техники'!AB749</f>
        <v xml:space="preserve">Углерод </v>
      </c>
      <c r="E803" s="702" t="str">
        <f>'19 работа техники'!AC749</f>
        <v>0328</v>
      </c>
      <c r="F803" s="638"/>
      <c r="G803" s="638"/>
      <c r="H803" s="638"/>
      <c r="I803" s="638"/>
      <c r="J803" s="638"/>
      <c r="K803" s="638"/>
      <c r="L803" s="638">
        <f>'19 работа техники'!AD367</f>
        <v>1.5100000000000001E-2</v>
      </c>
      <c r="M803" s="638">
        <f>'19 работа техники'!AE367</f>
        <v>5.2699999999999997E-2</v>
      </c>
      <c r="N803" s="638">
        <f>'19 работа техники'!AD749</f>
        <v>1.5100000000000001E-2</v>
      </c>
      <c r="O803" s="638">
        <f>'19 работа техники'!AE749</f>
        <v>0.18059999999999998</v>
      </c>
    </row>
    <row r="804" spans="2:15" x14ac:dyDescent="0.25">
      <c r="B804" s="999"/>
      <c r="C804" s="529"/>
      <c r="D804" s="640" t="str">
        <f>'19 работа техники'!AB750</f>
        <v>Углерода оксид</v>
      </c>
      <c r="E804" s="703" t="str">
        <f>'19 работа техники'!AC750</f>
        <v>0337</v>
      </c>
      <c r="F804" s="645"/>
      <c r="G804" s="645"/>
      <c r="H804" s="645"/>
      <c r="I804" s="645"/>
      <c r="J804" s="645"/>
      <c r="K804" s="645"/>
      <c r="L804" s="645">
        <f>'19 работа техники'!AD368</f>
        <v>7.6499999999999999E-2</v>
      </c>
      <c r="M804" s="645">
        <f>'19 работа техники'!AE368</f>
        <v>0.25029999999999997</v>
      </c>
      <c r="N804" s="645">
        <f>'19 работа техники'!AD750</f>
        <v>7.6499999999999999E-2</v>
      </c>
      <c r="O804" s="645">
        <f>'19 работа техники'!AE750</f>
        <v>0.9496</v>
      </c>
    </row>
    <row r="805" spans="2:15" s="530" customFormat="1" ht="15" customHeight="1" x14ac:dyDescent="0.25">
      <c r="B805" s="539"/>
      <c r="C805" s="533"/>
      <c r="D805" s="618" t="s">
        <v>1156</v>
      </c>
      <c r="E805" s="663"/>
      <c r="F805" s="694">
        <f t="shared" ref="F805:N805" si="50">SUM(F367:F804)</f>
        <v>0</v>
      </c>
      <c r="G805" s="694">
        <f t="shared" si="50"/>
        <v>0</v>
      </c>
      <c r="H805" s="694">
        <f>SUM(H367:H804)</f>
        <v>1.4550299999999996</v>
      </c>
      <c r="I805" s="694">
        <f>SUM(I367:I804)</f>
        <v>6.5852690000000011</v>
      </c>
      <c r="J805" s="694">
        <f t="shared" si="50"/>
        <v>1.4550299999999996</v>
      </c>
      <c r="K805" s="694">
        <f t="shared" ref="K805" si="51">SUM(K367:K804)</f>
        <v>6.5852690000000011</v>
      </c>
      <c r="L805" s="694">
        <f>SUM(L367:L804)</f>
        <v>5.8349300000000026</v>
      </c>
      <c r="M805" s="694">
        <f t="shared" si="50"/>
        <v>18.177569000000009</v>
      </c>
      <c r="N805" s="694">
        <f t="shared" si="50"/>
        <v>9.7390299999999801</v>
      </c>
      <c r="O805" s="694">
        <f>SUM(O367:O804)</f>
        <v>40.978328999999938</v>
      </c>
    </row>
    <row r="806" spans="2:15" x14ac:dyDescent="0.25">
      <c r="H806" s="531">
        <f>'19 работа техники'!AF130+'20 въезд-выезд авто'!AI123+'21 ТО и ТР'!N63</f>
        <v>1.45503</v>
      </c>
      <c r="I806" s="531">
        <f>'19 работа техники'!AG130+'20 въезд-выезд авто'!AJ123+'21 ТО и ТР'!O63</f>
        <v>6.5852689999999994</v>
      </c>
      <c r="J806" s="531">
        <f>'19 работа техники'!AF130+'20 въезд-выезд авто'!AI123+'21 ТО и ТР'!N63</f>
        <v>1.45503</v>
      </c>
      <c r="K806" s="531">
        <f>'19 работа техники'!AG130+'20 въезд-выезд авто'!AJ123+'21 ТО и ТР'!O63</f>
        <v>6.5852689999999994</v>
      </c>
      <c r="L806" s="531">
        <f>'19 работа техники'!AF130+'19 работа техники'!AF176+'19 работа техники'!AF369+'20 въезд-выезд авто'!AI123+'20 въезд-выезд авто'!AI130+'20 въезд-выезд авто'!AI286+'21 ТО и ТР'!N63</f>
        <v>5.8349299999999999</v>
      </c>
      <c r="M806" s="531">
        <f>'19 работа техники'!AG130+'19 работа техники'!AG176+'19 работа техники'!AG369+'20 въезд-выезд авто'!AJ123+'20 въезд-выезд авто'!AJ130+'20 въезд-выезд авто'!AJ286+'21 ТО и ТР'!O63</f>
        <v>18.177568999999998</v>
      </c>
      <c r="N806" s="531">
        <f>'19 работа техники'!AF130+'19 работа техники'!AF176+'19 работа техники'!AF751+'20 въезд-выезд авто'!AI123+'20 въезд-выезд авто'!AI130+'20 въезд-выезд авто'!AI623+'21 ТО и ТР'!N63</f>
        <v>9.7390300000000032</v>
      </c>
      <c r="O806" s="531">
        <f>'19 работа техники'!AG130+'19 работа техники'!AG176+'19 работа техники'!AG751+'20 въезд-выезд авто'!AJ123+'20 въезд-выезд авто'!AJ130+'20 въезд-выезд авто'!AJ623+'21 ТО и ТР'!O63</f>
        <v>40.978328999999988</v>
      </c>
    </row>
    <row r="807" spans="2:15" x14ac:dyDescent="0.25">
      <c r="L807" s="531"/>
      <c r="M807" s="531"/>
    </row>
    <row r="808" spans="2:15" s="522" customFormat="1" ht="28.5" customHeight="1" x14ac:dyDescent="0.25">
      <c r="B808" s="521"/>
      <c r="C808" s="538"/>
      <c r="D808" s="1006" t="s">
        <v>1285</v>
      </c>
      <c r="E808" s="1006"/>
      <c r="F808" s="1006"/>
      <c r="G808" s="1006"/>
      <c r="H808" s="1006"/>
      <c r="I808" s="1006"/>
      <c r="J808" s="1006"/>
      <c r="K808" s="1006"/>
      <c r="L808" s="1006"/>
      <c r="M808" s="1006"/>
      <c r="N808" s="616"/>
      <c r="O808" s="616"/>
    </row>
    <row r="809" spans="2:15" s="522" customFormat="1" ht="19.5" customHeight="1" thickBot="1" x14ac:dyDescent="0.3">
      <c r="B809" s="518"/>
      <c r="C809" s="520"/>
      <c r="D809" s="521"/>
      <c r="E809" s="617"/>
      <c r="F809" s="1007" t="s">
        <v>987</v>
      </c>
      <c r="G809" s="1007"/>
      <c r="H809" s="1007" t="s">
        <v>1151</v>
      </c>
      <c r="I809" s="1007"/>
      <c r="J809" s="1007" t="s">
        <v>1152</v>
      </c>
      <c r="K809" s="1007"/>
      <c r="L809" s="1007" t="s">
        <v>1153</v>
      </c>
      <c r="M809" s="1007"/>
      <c r="N809" s="1007" t="s">
        <v>1244</v>
      </c>
      <c r="O809" s="1007"/>
    </row>
    <row r="810" spans="2:15" s="519" customFormat="1" ht="21.75" customHeight="1" x14ac:dyDescent="0.25">
      <c r="B810" s="518"/>
      <c r="C810" s="540"/>
      <c r="D810" s="618" t="s">
        <v>1154</v>
      </c>
      <c r="E810" s="619" t="s">
        <v>1155</v>
      </c>
      <c r="F810" s="620" t="s">
        <v>18</v>
      </c>
      <c r="G810" s="621" t="s">
        <v>19</v>
      </c>
      <c r="H810" s="620" t="s">
        <v>18</v>
      </c>
      <c r="I810" s="621" t="s">
        <v>18</v>
      </c>
      <c r="J810" s="620" t="s">
        <v>18</v>
      </c>
      <c r="K810" s="620" t="s">
        <v>18</v>
      </c>
      <c r="L810" s="620" t="s">
        <v>18</v>
      </c>
      <c r="M810" s="621" t="s">
        <v>18</v>
      </c>
      <c r="N810" s="620" t="s">
        <v>18</v>
      </c>
      <c r="O810" s="621" t="s">
        <v>18</v>
      </c>
    </row>
    <row r="811" spans="2:15" ht="16.5" customHeight="1" x14ac:dyDescent="0.25">
      <c r="B811" s="1022"/>
      <c r="C811" s="541"/>
      <c r="D811" s="626" t="s">
        <v>48</v>
      </c>
      <c r="E811" s="704" t="s">
        <v>49</v>
      </c>
      <c r="F811" s="628"/>
      <c r="G811" s="629"/>
      <c r="H811" s="629">
        <f t="shared" ref="H811" si="52">H367+H373+H379+H385+H391+H397+H403+H409+H415+H421+H427+H433+H439+H445+H451+H457+H463+H469+H475+H481+H487+H493+H499+H505+H511+H517+H523+H529+H535+H541+H547+H553+H559+H565+H571+H577+H583+H589+H595+H601+H607+H613+H619+H625+H631+H637+H643+H649+H655+H661+H667+H673+H679+H685+H691+H697+H703+H709+H715+H721+H727+H733+H739+H745+H751+H757+H763+H769+H775+H781+H787+H793+H799</f>
        <v>0.47561999999999999</v>
      </c>
      <c r="I811" s="629">
        <f t="shared" ref="I811" si="53">I367+I373+I379+I385+I391+I397+I403+I409+I415+I421+I427+I433+I439+I445+I451+I457+I463+I469+I475+I481+I487+I493+I499+I505+I511+I517+I523+I529+I535+I541+I547+I553+I559+I565+I571+I577+I583+I589+I595+I601+I607+I613+I619+I625+I631+I637+I643+I649+I655+I661+I667+I673+I679+I685+I691+I697+I703+I709+I715+I721+I727+I733+I739+I745+I751+I757+I763+I769+I775+I781+I787+I793+I799</f>
        <v>2.5790000000000002</v>
      </c>
      <c r="J811" s="629">
        <f t="shared" ref="J811:O811" si="54">J367+J373+J379+J385+J391+J397+J403+J409+J415+J421+J427+J433+J439+J445+J451+J457+J463+J469+J475+J481+J487+J493+J499+J505+J511+J517+J523+J529+J535+J541+J547+J553+J559+J565+J571+J577+J583+J589+J595+J601+J607+J613+J619+J625+J631+J637+J643+J649+J655+J661+J667+J673+J679+J685+J691+J697+J703+J709+J715+J721+J727+J733+J739+J745+J751+J757+J763+J769+J775+J781+J787+J793+J799</f>
        <v>0.47561999999999999</v>
      </c>
      <c r="K811" s="629">
        <f t="shared" si="54"/>
        <v>2.5790000000000002</v>
      </c>
      <c r="L811" s="629">
        <f t="shared" ref="L811:M811" si="55">L367+L373+L379+L385+L391+L397+L403+L409+L415+L421+L427+L433+L439+L445+L451+L457+L463+L469+L475+L481+L487+L493+L499+L505+L511+L517+L523+L529+L535+L541+L547+L553+L559+L565+L571+L577+L583+L589+L595+L601+L607+L613+L619+L625+L631+L637+L643+L649+L655+L661+L667+L673+L679+L685+L691+L697+L703+L709+L715+L721+L727+L733+L739+L745+L751+L757+L763+L769+L775+L781+L787+L793+L799</f>
        <v>1.7697200000000004</v>
      </c>
      <c r="M811" s="629">
        <f t="shared" si="55"/>
        <v>6.9003000000000005</v>
      </c>
      <c r="N811" s="629">
        <f t="shared" si="54"/>
        <v>2.8406200000000013</v>
      </c>
      <c r="O811" s="629">
        <f t="shared" si="54"/>
        <v>15.8445</v>
      </c>
    </row>
    <row r="812" spans="2:15" x14ac:dyDescent="0.25">
      <c r="B812" s="1022"/>
      <c r="C812" s="541"/>
      <c r="D812" s="633" t="s">
        <v>51</v>
      </c>
      <c r="E812" s="705" t="s">
        <v>52</v>
      </c>
      <c r="F812" s="635"/>
      <c r="G812" s="636"/>
      <c r="H812" s="636">
        <f t="shared" ref="H812" si="56">H368+H374+H380+H386+H392+H398+H404+H410+H416+H422+H428+H434+H440+H446+H452+H458+H464+H470+H476+H482+H488+H494+H500+H506+H512+H518+H524+H530+H536+H542+H548+H554+H560+H566+H572+H578+H584+H590+H596+H602+H608+H614+H620+H626+H632+H638+H644+H650+H656+H662+H668+H674+H680+H686+H692+H698+H704+H710+H716+H722+H728+H734+H740+H746+H752+H758+H764+H770+H776+H782+H788+H794+H800</f>
        <v>7.7440000000000009E-2</v>
      </c>
      <c r="I812" s="636">
        <f t="shared" ref="I812" si="57">I368+I374+I380+I386+I392+I398+I404+I410+I416+I422+I428+I434+I440+I446+I452+I458+I464+I470+I476+I482+I488+I494+I500+I506+I512+I518+I524+I530+I536+I542+I548+I554+I560+I566+I572+I578+I584+I590+I596+I602+I608+I614+I620+I626+I632+I638+I644+I650+I656+I662+I668+I674+I680+I686+I692+I698+I704+I710+I716+I722+I728+I734+I740+I746+I752+I758+I764+I770+I776+I782+I788+I794+I800</f>
        <v>0.41944000000000004</v>
      </c>
      <c r="J812" s="636">
        <f t="shared" ref="J812:O812" si="58">J368+J374+J380+J386+J392+J398+J404+J410+J416+J422+J428+J434+J440+J446+J452+J458+J464+J470+J476+J482+J488+J494+J500+J506+J512+J518+J524+J530+J536+J542+J548+J554+J560+J566+J572+J578+J584+J590+J596+J602+J608+J614+J620+J626+J632+J638+J644+J650+J656+J662+J668+J674+J680+J686+J692+J698+J704+J710+J716+J722+J728+J734+J740+J746+J752+J758+J764+J770+J776+J782+J788+J794+J800</f>
        <v>7.7440000000000009E-2</v>
      </c>
      <c r="K812" s="636">
        <f t="shared" si="58"/>
        <v>0.41944000000000004</v>
      </c>
      <c r="L812" s="636">
        <f t="shared" ref="L812:M812" si="59">L368+L374+L380+L386+L392+L398+L404+L410+L416+L422+L428+L434+L440+L446+L452+L458+L464+L470+L476+L482+L488+L494+L500+L506+L512+L518+L524+L530+L536+L542+L548+L554+L560+L566+L572+L578+L584+L590+L596+L602+L608+L614+L620+L626+L632+L638+L644+L650+L656+L662+L668+L674+L680+L686+L692+L698+L704+L710+L716+L722+L728+L734+L740+L746+L752+L758+L764+L770+L776+L782+L788+L794+L800</f>
        <v>0.28794000000000008</v>
      </c>
      <c r="M812" s="636">
        <f t="shared" si="59"/>
        <v>1.1230399999999998</v>
      </c>
      <c r="N812" s="636">
        <f t="shared" si="58"/>
        <v>0.46194000000000018</v>
      </c>
      <c r="O812" s="636">
        <f t="shared" si="58"/>
        <v>2.5734400000000015</v>
      </c>
    </row>
    <row r="813" spans="2:15" x14ac:dyDescent="0.25">
      <c r="B813" s="1022"/>
      <c r="C813" s="541"/>
      <c r="D813" s="633" t="s">
        <v>56</v>
      </c>
      <c r="E813" s="705" t="s">
        <v>57</v>
      </c>
      <c r="F813" s="635"/>
      <c r="G813" s="636"/>
      <c r="H813" s="636">
        <f t="shared" ref="H813" si="60">H369+H375+H381+H387+H393+H399+H405+H411+H417+H423+H429+H435+H441+H447+H453+H459+H465+H471+H477+H483+H489+H495+H501+H507+H513+H519+H525+H531+H537+H543+H549+H555+H561+H567+H573+H579+H585+H591+H597+H603+H609+H615+H621+H627+H633+H639+H645+H651+H657+H663+H669+H675+H681+H687+H693+H699+H705+H711+H717+H723+H729+H735+H741+H747+H753+H759+H765+H771+H777+H783+H789+H795+H801</f>
        <v>5.6529999999999997E-2</v>
      </c>
      <c r="I813" s="636">
        <f t="shared" ref="I813" si="61">I369+I375+I381+I387+I393+I399+I405+I411+I417+I423+I429+I435+I441+I447+I453+I459+I465+I471+I477+I483+I489+I495+I501+I507+I513+I519+I525+I531+I537+I543+I549+I555+I561+I567+I573+I579+I585+I591+I597+I603+I609+I615+I621+I627+I633+I639+I645+I651+I657+I663+I669+I675+I681+I687+I693+I699+I705+I711+I717+I723+I729+I735+I741+I747+I753+I759+I765+I771+I777+I783+I789+I795+I801</f>
        <v>0.27872000000000002</v>
      </c>
      <c r="J813" s="636">
        <f t="shared" ref="J813:O813" si="62">J369+J375+J381+J387+J393+J399+J405+J411+J417+J423+J429+J435+J441+J447+J453+J459+J465+J471+J477+J483+J489+J495+J501+J507+J513+J519+J525+J531+J537+J543+J549+J555+J561+J567+J573+J579+J585+J591+J597+J603+J609+J615+J621+J627+J633+J639+J645+J651+J657+J663+J669+J675+J681+J687+J693+J699+J705+J711+J717+J723+J729+J735+J741+J747+J753+J759+J765+J771+J777+J783+J789+J795+J801</f>
        <v>5.6529999999999997E-2</v>
      </c>
      <c r="K813" s="636">
        <f t="shared" si="62"/>
        <v>0.27872000000000002</v>
      </c>
      <c r="L813" s="636">
        <f t="shared" ref="L813:M813" si="63">L369+L375+L381+L387+L393+L399+L405+L411+L417+L423+L429+L435+L441+L447+L453+L459+L465+L471+L477+L483+L489+L495+L501+L507+L513+L519+L525+L531+L537+L543+L549+L555+L561+L567+L573+L579+L585+L591+L597+L603+L609+L615+L621+L627+L633+L639+L645+L651+L657+L663+L669+L675+L681+L687+L693+L699+L705+L711+L717+L723+L729+L735+L741+L747+L753+L759+L765+L771+L777+L783+L789+L795+L801</f>
        <v>0.19622999999999999</v>
      </c>
      <c r="M813" s="636">
        <f t="shared" si="63"/>
        <v>0.76883000000000024</v>
      </c>
      <c r="N813" s="636">
        <f t="shared" si="62"/>
        <v>0.3088300000000001</v>
      </c>
      <c r="O813" s="636">
        <f t="shared" si="62"/>
        <v>1.7027500000000011</v>
      </c>
    </row>
    <row r="814" spans="2:15" x14ac:dyDescent="0.25">
      <c r="B814" s="1022"/>
      <c r="C814" s="541"/>
      <c r="D814" s="633" t="s">
        <v>177</v>
      </c>
      <c r="E814" s="705" t="s">
        <v>178</v>
      </c>
      <c r="F814" s="635"/>
      <c r="G814" s="636"/>
      <c r="H814" s="636">
        <f t="shared" ref="H814" si="64">H370+H376+H382+H388+H394+H400+H406+H412+H418+H424+H430+H436+H442+H448+H454+H460+H466+H472+H478+H484+H490+H496+H502+H508+H514+H520+H526+H532+H538+H544+H550+H556+H562+H568+H574+H580+H586+H592+H598+H604+H610+H616+H622+H628+H634+H640+H646+H652+H658+H664+H670+H676+H682+H688+H694+H700+H706+H712+H718+H724+H730+H736+H742+H748+H754+H760+H766+H772+H778+H784+H790+H796+H802</f>
        <v>0.14550000000000002</v>
      </c>
      <c r="I814" s="636">
        <f t="shared" ref="I814" si="65">I370+I376+I382+I388+I394+I400+I406+I412+I418+I424+I430+I436+I442+I448+I454+I460+I466+I472+I478+I484+I490+I496+I502+I508+I514+I520+I526+I532+I538+I544+I550+I556+I562+I568+I574+I580+I586+I592+I598+I604+I610+I616+I622+I628+I634+I640+I646+I652+I658+I664+I670+I676+I682+I688+I694+I700+I706+I712+I718+I724+I730+I736+I742+I748+I754+I760+I766+I772+I778+I784+I790+I796+I802</f>
        <v>0.63741999999999988</v>
      </c>
      <c r="J814" s="636">
        <f t="shared" ref="J814:O814" si="66">J370+J376+J382+J388+J394+J400+J406+J412+J418+J424+J430+J436+J442+J448+J454+J460+J466+J472+J478+J484+J490+J496+J502+J508+J514+J520+J526+J532+J538+J544+J550+J556+J562+J568+J574+J580+J586+J592+J598+J604+J610+J616+J622+J628+J634+J640+J646+J652+J658+J664+J670+J676+J682+J688+J694+J700+J706+J712+J718+J724+J730+J736+J742+J748+J754+J760+J766+J772+J778+J784+J790+J796+J802</f>
        <v>0.14550000000000002</v>
      </c>
      <c r="K814" s="636">
        <f t="shared" si="66"/>
        <v>0.63741999999999988</v>
      </c>
      <c r="L814" s="636">
        <f t="shared" ref="L814:M814" si="67">L370+L376+L382+L388+L394+L400+L406+L412+L418+L424+L430+L436+L442+L448+L454+L460+L466+L472+L478+L484+L490+L496+L502+L508+L514+L520+L526+L532+L538+L544+L550+L556+L562+L568+L574+L580+L586+L592+L598+L604+L610+L616+L622+L628+L634+L640+L646+L652+L658+L664+L670+L676+L682+L688+L694+L700+L706+L712+L718+L724+L730+L736+L742+L748+L754+L760+L766+L772+L778+L784+L790+L796+L802</f>
        <v>0.56740000000000002</v>
      </c>
      <c r="M814" s="636">
        <f t="shared" si="67"/>
        <v>1.7801199999999999</v>
      </c>
      <c r="N814" s="636">
        <f t="shared" si="66"/>
        <v>0.94190000000000007</v>
      </c>
      <c r="O814" s="636">
        <f t="shared" si="66"/>
        <v>3.9705199999999992</v>
      </c>
    </row>
    <row r="815" spans="2:15" x14ac:dyDescent="0.25">
      <c r="B815" s="1022"/>
      <c r="C815" s="541"/>
      <c r="D815" s="633" t="s">
        <v>61</v>
      </c>
      <c r="E815" s="705" t="s">
        <v>62</v>
      </c>
      <c r="F815" s="635"/>
      <c r="G815" s="636"/>
      <c r="H815" s="636">
        <f t="shared" ref="H815:K815" si="68">H372+H378+H384+H390+H396+H401+H407+H413+H419+H425+H431+H437+H443+H449+H455+H461+H467+H473+H479+H485+H491+H497+H503+H509+H515+H521+H527+H533+H539+H545+H551+H557+H563+H569+H575+H581+H587+H593+H599+H605+H611+H617+H623+H629+H635+H641+H647+H653+H659+H665+H671+H677+H683+H689+H695+H701+H707+H713+H719+H725+H731+H737+H743+H749+H755+H761+H767+H773+H779+H785+H791+H797+H803</f>
        <v>8.7410000000000002E-2</v>
      </c>
      <c r="I815" s="636">
        <f t="shared" si="68"/>
        <v>0.39890900000000001</v>
      </c>
      <c r="J815" s="636">
        <f t="shared" si="68"/>
        <v>8.7410000000000002E-2</v>
      </c>
      <c r="K815" s="636">
        <f t="shared" si="68"/>
        <v>0.39890900000000001</v>
      </c>
      <c r="L815" s="636">
        <f>L372+L378+L384+L390+L396+L401+L407+L413+L419+L425+L431+L437+L443+L449+L455+L462+L467+L473+L479+L485+L491+L497+L503+L509+L515+L521+L527+L533+L539+L545+L551+L557+L563+L569+L575+L581+L587+L593+L599+L605+L611+L617+L623+L630+L635+L641+L647+L653+L659+L665+L671+L677+L683+L689+L695+L701+L707+L713+L719+L725+L731+L737+L743+L749+L755+L761+L768+L773+L779+L785+L791+L797+L803</f>
        <v>0.30900999999999995</v>
      </c>
      <c r="M815" s="636">
        <f>M372+M378+M384+M390+M396+M401+M407+M413+M419+M425+M431+M437+M443+M449+M455+M462+M467+M473+M479+M485+M491+M497+M503+M509+M515+M521+M527+M533+M539+M545+M551+M557+M563+M569+M575+M581+M587+M593+M599+M605+M611+M617+M623+M630+M635+M641+M647+M653+M659+M665+M671+M677+M683+M689+M695+M701+M707+M713+M719+M725+M731+M737+M743+M749+M755+M761+M768+M773+M779+M785+M791+M797+M803</f>
        <v>1.1667989999999997</v>
      </c>
      <c r="N815" s="636">
        <f>N372+N378+N384+N390+N396+N401+N407+N413+N419+N425+N431+N437+N443+N449+N455+N462+N467+N473+N479+N485+N491+N497+N503+N509+N515+N521+N527+N533+N539+N545+N551+N557+N563+N569+N575+N581+N587+N593+N599+N605+N611+N617+N623+N630+N635+N641+N647+N653+N659+N665+N671+N677+N683+N689+N695+N701+N707+N713+N719+N725+N731+N737+N743+N749+N755+N761+N768+N773+N779+N785+N791+N797+N803</f>
        <v>0.4863099999999998</v>
      </c>
      <c r="O815" s="636">
        <f>O372+O378+O384+O390+O396+O401+O407+O413+O419+O425+O431+O437+O443+O449+O455+O462+O467+O473+O479+O485+O491+O497+O503+O509+O515+O521+O527+O533+O539+O545+O551+O557+O563+O569+O575+O581+O587+O593+O599+O605+O611+O617+O623+O630+O635+O641+O647+O653+O659+O665+O671+O677+O683+O689+O695+O701+O707+O713+O719+O725+O731+O737+O743+O749+O755+O761+O768+O773+O779+O785+O791+O797+O803</f>
        <v>2.4986389999999998</v>
      </c>
    </row>
    <row r="816" spans="2:15" x14ac:dyDescent="0.25">
      <c r="B816" s="1022"/>
      <c r="C816" s="541"/>
      <c r="D816" s="640" t="s">
        <v>65</v>
      </c>
      <c r="E816" s="706" t="s">
        <v>66</v>
      </c>
      <c r="F816" s="642"/>
      <c r="G816" s="643"/>
      <c r="H816" s="643">
        <f t="shared" ref="H816:K816" si="69">H371+H377+H383+H389+H395+H402+H408+H414+H420+H426+H432+H438+H444+H450+H456+H462+H468+H474+H480+H486+H492+H498+H504+H510+H516+H522+H528+H534+H540+H546+H552+H558+H564+H570+H576+H582+H588+H594+H600+H606+H612+H618+H624+H630+H636+H642+H648+H654+H660+H666+H672+H678+H684+H690+H696+H702+H708+H714+H720+H726+H732+H738+H744+H750+H756+H762+H768+H774+H780+H786+H792+H798+H804</f>
        <v>0.61253000000000002</v>
      </c>
      <c r="I816" s="643">
        <f t="shared" si="69"/>
        <v>2.2717800000000001</v>
      </c>
      <c r="J816" s="643">
        <f t="shared" si="69"/>
        <v>0.61253000000000002</v>
      </c>
      <c r="K816" s="643">
        <f t="shared" si="69"/>
        <v>2.2717800000000001</v>
      </c>
      <c r="L816" s="643">
        <f>L371+L377+L383+L389+L395+L402+L408+L414+L420+L426+L432+L438+L444+L450+L456+L461+L468+L474+L480+L486+L492+L498+L504+L510+L516+L522+L528+L534+L540+L546+L552+L558+L564+L570+L576+L582+L588+L594+L600+L606+L612+L618+L624+L629+L636+L642+L648+L654+L660+L666+L672+L678+L684+L690+L696+L702+L708+L714+L720+L726+L732+L738+L744+L750+L756+L762+L767+L774+L780+L786+L792+L798+L804</f>
        <v>2.7046299999999999</v>
      </c>
      <c r="M816" s="643">
        <f>M371+M377+M383+M389+M395+M402+M408+M414+M420+M426+M432+M438+M444+M450+M456+M461+M468+M474+M480+M486+M492+M498+M504+M510+M516+M522+M528+M534+M540+M546+M552+M558+M564+M570+M576+M582+M588+M594+M600+M606+M612+M618+M624+M629+M636+M642+M648+M654+M660+M666+M672+M678+M684+M690+M696+M702+M708+M714+M720+M726+M732+M738+M744+M750+M756+M762+M767+M774+M780+M786+M792+M798+M804</f>
        <v>6.4384800000000002</v>
      </c>
      <c r="N816" s="643">
        <f>N371+N377+N383+N389+N395+N402+N408+N414+N420+N426+N432+N438+N444+N450+N456+N461+N468+N474+N480+N486+N492+N498+N504+N510+N516+N522+N528+N534+N540+N546+N552+N558+N564+N570+N576+N582+N588+N594+N600+N606+N612+N618+N624+N629+N636+N642+N648+N654+N660+N666+N672+N678+N684+N690+N696+N702+N708+N714+N720+N726+N732+N738+N744+N750+N756+N762+N767+N774+N780+N786+N792+N798+N804</f>
        <v>4.6994300000000049</v>
      </c>
      <c r="O816" s="643">
        <f>O371+O377+O383+O389+O395+O402+O408+O414+O420+O426+O432+O438+O444+O450+O456+O461+O468+O474+O480+O486+O492+O498+O504+O510+O516+O522+O528+O534+O540+O546+O552+O558+O564+O570+O576+O582+O588+O594+O600+O606+O612+O618+O624+O629+O636+O642+O648+O654+O660+O666+O672+O678+O684+O690+O696+O702+O708+O714+O720+O726+O732+O738+O744+O750+O756+O762+O767+O774+O780+O786+O792+O798+O804</f>
        <v>14.388480000000001</v>
      </c>
    </row>
    <row r="817" spans="4:15" x14ac:dyDescent="0.25">
      <c r="D817" s="618" t="s">
        <v>1156</v>
      </c>
      <c r="E817" s="663"/>
      <c r="F817" s="696"/>
      <c r="G817" s="696"/>
      <c r="H817" s="707">
        <f t="shared" ref="H817:O817" si="70">SUM(H811:H816)</f>
        <v>1.45503</v>
      </c>
      <c r="I817" s="707">
        <f t="shared" si="70"/>
        <v>6.5852690000000003</v>
      </c>
      <c r="J817" s="707">
        <f t="shared" si="70"/>
        <v>1.45503</v>
      </c>
      <c r="K817" s="707">
        <f t="shared" si="70"/>
        <v>6.5852690000000003</v>
      </c>
      <c r="L817" s="707">
        <f>SUM(L811:L816)</f>
        <v>5.8349299999999999</v>
      </c>
      <c r="M817" s="707">
        <f t="shared" si="70"/>
        <v>18.177568999999998</v>
      </c>
      <c r="N817" s="707">
        <f t="shared" si="70"/>
        <v>9.7390300000000067</v>
      </c>
      <c r="O817" s="707">
        <f t="shared" si="70"/>
        <v>40.978329000000002</v>
      </c>
    </row>
    <row r="818" spans="4:15" x14ac:dyDescent="0.25">
      <c r="L818" s="531"/>
      <c r="M818" s="531"/>
    </row>
    <row r="819" spans="4:15" x14ac:dyDescent="0.25">
      <c r="H819" s="708"/>
      <c r="I819" s="708"/>
      <c r="L819" s="691"/>
      <c r="M819" s="691"/>
    </row>
    <row r="820" spans="4:15" x14ac:dyDescent="0.25">
      <c r="H820" s="691"/>
      <c r="I820" s="691"/>
    </row>
    <row r="821" spans="4:15" x14ac:dyDescent="0.25">
      <c r="L821" s="691"/>
      <c r="M821" s="691"/>
    </row>
    <row r="822" spans="4:15" ht="15.75" customHeight="1" x14ac:dyDescent="0.25">
      <c r="L822" s="691"/>
      <c r="M822" s="691"/>
    </row>
    <row r="824" spans="4:15" x14ac:dyDescent="0.25">
      <c r="D824" s="1012" t="s">
        <v>1411</v>
      </c>
      <c r="E824" s="1012"/>
      <c r="F824" s="1012"/>
      <c r="G824" s="1012"/>
      <c r="H824" s="1012"/>
      <c r="I824" s="1012"/>
      <c r="J824" s="1012"/>
      <c r="K824" s="1012"/>
      <c r="L824" s="1012"/>
      <c r="M824" s="1012"/>
      <c r="N824" s="709"/>
      <c r="O824" s="709"/>
    </row>
    <row r="825" spans="4:15" x14ac:dyDescent="0.25">
      <c r="D825" s="828"/>
      <c r="E825" s="829"/>
      <c r="F825" s="1000" t="s">
        <v>1157</v>
      </c>
      <c r="G825" s="1000"/>
      <c r="H825" s="1000" t="s">
        <v>1157</v>
      </c>
      <c r="I825" s="1000"/>
      <c r="J825" s="1000" t="s">
        <v>1157</v>
      </c>
      <c r="K825" s="1000"/>
      <c r="L825" s="1000" t="s">
        <v>1157</v>
      </c>
      <c r="M825" s="1000"/>
      <c r="N825" s="1000" t="s">
        <v>1157</v>
      </c>
      <c r="O825" s="1000"/>
    </row>
    <row r="826" spans="4:15" x14ac:dyDescent="0.25">
      <c r="D826" s="1001" t="s">
        <v>1158</v>
      </c>
      <c r="E826" s="1003" t="s">
        <v>1155</v>
      </c>
      <c r="F826" s="1005" t="s">
        <v>987</v>
      </c>
      <c r="G826" s="1005"/>
      <c r="H826" s="1005" t="s">
        <v>1151</v>
      </c>
      <c r="I826" s="1005"/>
      <c r="J826" s="1005" t="s">
        <v>1152</v>
      </c>
      <c r="K826" s="1005"/>
      <c r="L826" s="1005" t="s">
        <v>1153</v>
      </c>
      <c r="M826" s="1005"/>
      <c r="N826" s="1005" t="s">
        <v>1244</v>
      </c>
      <c r="O826" s="1005"/>
    </row>
    <row r="827" spans="4:15" x14ac:dyDescent="0.25">
      <c r="D827" s="1002"/>
      <c r="E827" s="1004"/>
      <c r="F827" s="830" t="s">
        <v>18</v>
      </c>
      <c r="G827" s="830" t="s">
        <v>19</v>
      </c>
      <c r="H827" s="830" t="s">
        <v>18</v>
      </c>
      <c r="I827" s="830" t="s">
        <v>18</v>
      </c>
      <c r="J827" s="830" t="s">
        <v>18</v>
      </c>
      <c r="K827" s="830" t="s">
        <v>18</v>
      </c>
      <c r="L827" s="830" t="s">
        <v>18</v>
      </c>
      <c r="M827" s="830" t="s">
        <v>19</v>
      </c>
      <c r="N827" s="830" t="s">
        <v>18</v>
      </c>
      <c r="O827" s="830" t="s">
        <v>19</v>
      </c>
    </row>
    <row r="828" spans="4:15" x14ac:dyDescent="0.25">
      <c r="D828" s="831">
        <v>1</v>
      </c>
      <c r="E828" s="832">
        <v>2</v>
      </c>
      <c r="F828" s="832">
        <v>3</v>
      </c>
      <c r="G828" s="832">
        <v>4</v>
      </c>
      <c r="H828" s="832">
        <v>5</v>
      </c>
      <c r="I828" s="832">
        <v>5</v>
      </c>
      <c r="J828" s="832">
        <v>7</v>
      </c>
      <c r="K828" s="832">
        <v>7</v>
      </c>
      <c r="L828" s="832">
        <v>9</v>
      </c>
      <c r="M828" s="832">
        <v>10</v>
      </c>
      <c r="N828" s="832">
        <v>9</v>
      </c>
      <c r="O828" s="832">
        <v>10</v>
      </c>
    </row>
    <row r="829" spans="4:15" ht="36.75" customHeight="1" x14ac:dyDescent="0.25">
      <c r="D829" s="831" t="s">
        <v>273</v>
      </c>
      <c r="E829" s="832" t="s">
        <v>274</v>
      </c>
      <c r="F829" s="832">
        <f t="shared" ref="F829:O829" si="71">F318</f>
        <v>0</v>
      </c>
      <c r="G829" s="832">
        <f t="shared" si="71"/>
        <v>0</v>
      </c>
      <c r="H829" s="832">
        <f t="shared" si="71"/>
        <v>1.024E-3</v>
      </c>
      <c r="I829" s="832">
        <f t="shared" si="71"/>
        <v>1.8470000000000001E-3</v>
      </c>
      <c r="J829" s="832">
        <f t="shared" si="71"/>
        <v>1.024E-3</v>
      </c>
      <c r="K829" s="832">
        <f t="shared" si="71"/>
        <v>1.8470000000000001E-3</v>
      </c>
      <c r="L829" s="832">
        <f t="shared" si="71"/>
        <v>1.024E-3</v>
      </c>
      <c r="M829" s="832">
        <f t="shared" si="71"/>
        <v>1.8470000000000001E-3</v>
      </c>
      <c r="N829" s="832">
        <f t="shared" si="71"/>
        <v>1.024E-3</v>
      </c>
      <c r="O829" s="832">
        <f t="shared" si="71"/>
        <v>1.8470000000000001E-3</v>
      </c>
    </row>
    <row r="830" spans="4:15" ht="36.75" customHeight="1" x14ac:dyDescent="0.25">
      <c r="D830" s="831" t="s">
        <v>602</v>
      </c>
      <c r="E830" s="832" t="s">
        <v>603</v>
      </c>
      <c r="F830" s="832">
        <f t="shared" ref="F830:O830" si="72">F319</f>
        <v>0</v>
      </c>
      <c r="G830" s="832">
        <f t="shared" si="72"/>
        <v>0</v>
      </c>
      <c r="H830" s="832">
        <f t="shared" si="72"/>
        <v>0</v>
      </c>
      <c r="I830" s="832">
        <f t="shared" si="72"/>
        <v>0</v>
      </c>
      <c r="J830" s="832">
        <f t="shared" si="72"/>
        <v>0</v>
      </c>
      <c r="K830" s="832">
        <f t="shared" si="72"/>
        <v>0</v>
      </c>
      <c r="L830" s="832">
        <f t="shared" si="72"/>
        <v>4.0000000000000002E-4</v>
      </c>
      <c r="M830" s="832">
        <f t="shared" si="72"/>
        <v>3.1800000000000001E-3</v>
      </c>
      <c r="N830" s="832">
        <f t="shared" si="72"/>
        <v>4.0000000000000002E-4</v>
      </c>
      <c r="O830" s="832">
        <f t="shared" si="72"/>
        <v>1.2620000000000001E-2</v>
      </c>
    </row>
    <row r="831" spans="4:15" ht="36.75" customHeight="1" x14ac:dyDescent="0.25">
      <c r="D831" s="833" t="s">
        <v>130</v>
      </c>
      <c r="E831" s="834" t="s">
        <v>131</v>
      </c>
      <c r="F831" s="832">
        <f t="shared" ref="F831:O831" si="73">F320</f>
        <v>0</v>
      </c>
      <c r="G831" s="832">
        <f t="shared" si="73"/>
        <v>0</v>
      </c>
      <c r="H831" s="832">
        <f t="shared" si="73"/>
        <v>2.0999999999999999E-3</v>
      </c>
      <c r="I831" s="832">
        <f t="shared" si="73"/>
        <v>6.502E-3</v>
      </c>
      <c r="J831" s="832">
        <f t="shared" si="73"/>
        <v>2.0999999999999999E-3</v>
      </c>
      <c r="K831" s="832">
        <f t="shared" si="73"/>
        <v>6.502E-3</v>
      </c>
      <c r="L831" s="832">
        <f t="shared" si="73"/>
        <v>2.0999999999999999E-3</v>
      </c>
      <c r="M831" s="832">
        <f t="shared" si="73"/>
        <v>6.502E-3</v>
      </c>
      <c r="N831" s="832">
        <f t="shared" si="73"/>
        <v>2.0999999999999999E-3</v>
      </c>
      <c r="O831" s="832">
        <f t="shared" si="73"/>
        <v>6.502E-3</v>
      </c>
    </row>
    <row r="832" spans="4:15" ht="36.75" customHeight="1" x14ac:dyDescent="0.25">
      <c r="D832" s="833" t="s">
        <v>579</v>
      </c>
      <c r="E832" s="834" t="s">
        <v>580</v>
      </c>
      <c r="F832" s="832">
        <f t="shared" ref="F832:O832" si="74">F321</f>
        <v>0</v>
      </c>
      <c r="G832" s="832">
        <f t="shared" si="74"/>
        <v>0</v>
      </c>
      <c r="H832" s="832">
        <f t="shared" si="74"/>
        <v>0</v>
      </c>
      <c r="I832" s="832">
        <f t="shared" si="74"/>
        <v>0</v>
      </c>
      <c r="J832" s="832">
        <f t="shared" si="74"/>
        <v>0</v>
      </c>
      <c r="K832" s="832">
        <f t="shared" si="74"/>
        <v>0</v>
      </c>
      <c r="L832" s="832">
        <f t="shared" si="74"/>
        <v>3.7822000000000001E-2</v>
      </c>
      <c r="M832" s="832">
        <f t="shared" si="74"/>
        <v>0.36675999999999997</v>
      </c>
      <c r="N832" s="832">
        <f t="shared" si="74"/>
        <v>3.7822000000000001E-2</v>
      </c>
      <c r="O832" s="832">
        <f t="shared" si="74"/>
        <v>1.1624400000000001</v>
      </c>
    </row>
    <row r="833" spans="2:15" ht="36.75" customHeight="1" x14ac:dyDescent="0.25">
      <c r="D833" s="833" t="s">
        <v>132</v>
      </c>
      <c r="E833" s="834" t="s">
        <v>133</v>
      </c>
      <c r="F833" s="832">
        <f t="shared" ref="F833:O833" si="75">F322</f>
        <v>0</v>
      </c>
      <c r="G833" s="832">
        <f t="shared" si="75"/>
        <v>0</v>
      </c>
      <c r="H833" s="832">
        <f t="shared" si="75"/>
        <v>2.3199999999999997E-4</v>
      </c>
      <c r="I833" s="832">
        <f t="shared" si="75"/>
        <v>6.9999999999999999E-4</v>
      </c>
      <c r="J833" s="832">
        <f t="shared" si="75"/>
        <v>2.3199999999999997E-4</v>
      </c>
      <c r="K833" s="832">
        <f t="shared" si="75"/>
        <v>6.9999999999999999E-4</v>
      </c>
      <c r="L833" s="832">
        <f t="shared" si="75"/>
        <v>2.3199999999999997E-4</v>
      </c>
      <c r="M833" s="832">
        <f t="shared" si="75"/>
        <v>6.9999999999999999E-4</v>
      </c>
      <c r="N833" s="832">
        <f t="shared" si="75"/>
        <v>2.3199999999999997E-4</v>
      </c>
      <c r="O833" s="832">
        <f t="shared" si="75"/>
        <v>6.9999999999999999E-4</v>
      </c>
    </row>
    <row r="834" spans="2:15" ht="36.75" customHeight="1" x14ac:dyDescent="0.25">
      <c r="D834" s="833" t="s">
        <v>451</v>
      </c>
      <c r="E834" s="834" t="s">
        <v>452</v>
      </c>
      <c r="F834" s="832">
        <f t="shared" ref="F834:O834" si="76">F323</f>
        <v>0</v>
      </c>
      <c r="G834" s="832">
        <f t="shared" si="76"/>
        <v>0</v>
      </c>
      <c r="H834" s="832">
        <f t="shared" si="76"/>
        <v>0</v>
      </c>
      <c r="I834" s="832">
        <f t="shared" si="76"/>
        <v>0</v>
      </c>
      <c r="J834" s="832">
        <f t="shared" si="76"/>
        <v>0</v>
      </c>
      <c r="K834" s="832">
        <f t="shared" si="76"/>
        <v>0</v>
      </c>
      <c r="L834" s="832">
        <f t="shared" si="76"/>
        <v>1.166E-2</v>
      </c>
      <c r="M834" s="832">
        <f t="shared" si="76"/>
        <v>9.1900000000000009E-2</v>
      </c>
      <c r="N834" s="832">
        <f t="shared" si="76"/>
        <v>1.166E-2</v>
      </c>
      <c r="O834" s="832">
        <f t="shared" si="76"/>
        <v>0.36770000000000003</v>
      </c>
    </row>
    <row r="835" spans="2:15" ht="36.75" customHeight="1" x14ac:dyDescent="0.25">
      <c r="D835" s="833" t="s">
        <v>250</v>
      </c>
      <c r="E835" s="834" t="s">
        <v>251</v>
      </c>
      <c r="F835" s="832">
        <f t="shared" ref="F835:O835" si="77">F324</f>
        <v>0</v>
      </c>
      <c r="G835" s="832">
        <f t="shared" si="77"/>
        <v>0</v>
      </c>
      <c r="H835" s="832">
        <f t="shared" si="77"/>
        <v>3.3000000000000002E-2</v>
      </c>
      <c r="I835" s="832">
        <f t="shared" si="77"/>
        <v>7.0440000000000003E-2</v>
      </c>
      <c r="J835" s="832">
        <f t="shared" si="77"/>
        <v>3.3000000000000002E-2</v>
      </c>
      <c r="K835" s="832">
        <f t="shared" si="77"/>
        <v>7.0440000000000003E-2</v>
      </c>
      <c r="L835" s="832">
        <f t="shared" si="77"/>
        <v>8.2116350000000018E-2</v>
      </c>
      <c r="M835" s="832">
        <f t="shared" si="77"/>
        <v>0.45761100000000005</v>
      </c>
      <c r="N835" s="832">
        <f t="shared" si="77"/>
        <v>8.2116350000000018E-2</v>
      </c>
      <c r="O835" s="832">
        <f t="shared" si="77"/>
        <v>1.6190040000000003</v>
      </c>
    </row>
    <row r="836" spans="2:15" ht="36.75" customHeight="1" x14ac:dyDescent="0.25">
      <c r="D836" s="833" t="s">
        <v>1257</v>
      </c>
      <c r="E836" s="834" t="s">
        <v>176</v>
      </c>
      <c r="F836" s="832">
        <f t="shared" ref="F836:O836" si="78">F325</f>
        <v>0</v>
      </c>
      <c r="G836" s="832">
        <f t="shared" si="78"/>
        <v>0</v>
      </c>
      <c r="H836" s="832">
        <f t="shared" si="78"/>
        <v>6.7200000000000003E-3</v>
      </c>
      <c r="I836" s="832">
        <f t="shared" si="78"/>
        <v>8.5900000000000004E-3</v>
      </c>
      <c r="J836" s="832">
        <f t="shared" si="78"/>
        <v>6.7200000000000003E-3</v>
      </c>
      <c r="K836" s="832">
        <f t="shared" si="78"/>
        <v>8.5900000000000004E-3</v>
      </c>
      <c r="L836" s="832">
        <f t="shared" si="78"/>
        <v>7.2200000000000007E-3</v>
      </c>
      <c r="M836" s="832">
        <f t="shared" si="78"/>
        <v>1.2490000000000001E-2</v>
      </c>
      <c r="N836" s="832">
        <f t="shared" si="78"/>
        <v>7.2200000000000007E-3</v>
      </c>
      <c r="O836" s="832">
        <f t="shared" si="78"/>
        <v>2.4390000000000002E-2</v>
      </c>
    </row>
    <row r="837" spans="2:15" ht="36.75" customHeight="1" x14ac:dyDescent="0.25">
      <c r="D837" s="833" t="s">
        <v>586</v>
      </c>
      <c r="E837" s="834" t="s">
        <v>587</v>
      </c>
      <c r="F837" s="832">
        <f t="shared" ref="F837:O837" si="79">F326</f>
        <v>0</v>
      </c>
      <c r="G837" s="832">
        <f t="shared" si="79"/>
        <v>0</v>
      </c>
      <c r="H837" s="832">
        <f t="shared" si="79"/>
        <v>0</v>
      </c>
      <c r="I837" s="832">
        <f t="shared" si="79"/>
        <v>0</v>
      </c>
      <c r="J837" s="832">
        <f t="shared" si="79"/>
        <v>0</v>
      </c>
      <c r="K837" s="832">
        <f t="shared" si="79"/>
        <v>0</v>
      </c>
      <c r="L837" s="832">
        <f t="shared" si="79"/>
        <v>4.0000000000000003E-5</v>
      </c>
      <c r="M837" s="832">
        <f t="shared" si="79"/>
        <v>3.2000000000000003E-4</v>
      </c>
      <c r="N837" s="832">
        <f t="shared" si="79"/>
        <v>4.0000000000000003E-5</v>
      </c>
      <c r="O837" s="832">
        <f t="shared" si="79"/>
        <v>1.2999999999999999E-3</v>
      </c>
    </row>
    <row r="838" spans="2:15" ht="36.75" customHeight="1" x14ac:dyDescent="0.25">
      <c r="D838" s="833" t="s">
        <v>270</v>
      </c>
      <c r="E838" s="834" t="s">
        <v>271</v>
      </c>
      <c r="F838" s="832">
        <f t="shared" ref="F838:O838" si="80">F327</f>
        <v>0</v>
      </c>
      <c r="G838" s="832">
        <f t="shared" si="80"/>
        <v>0</v>
      </c>
      <c r="H838" s="832">
        <f t="shared" si="80"/>
        <v>3.0000000000000001E-6</v>
      </c>
      <c r="I838" s="832">
        <f t="shared" si="80"/>
        <v>1.1E-5</v>
      </c>
      <c r="J838" s="832">
        <f t="shared" si="80"/>
        <v>3.0000000000000001E-6</v>
      </c>
      <c r="K838" s="832">
        <f t="shared" si="80"/>
        <v>1.1E-5</v>
      </c>
      <c r="L838" s="832">
        <f t="shared" si="80"/>
        <v>3.0000000000000001E-6</v>
      </c>
      <c r="M838" s="832">
        <f t="shared" si="80"/>
        <v>1.1E-5</v>
      </c>
      <c r="N838" s="832">
        <f t="shared" si="80"/>
        <v>3.0000000000000001E-6</v>
      </c>
      <c r="O838" s="832">
        <f t="shared" si="80"/>
        <v>1.1E-5</v>
      </c>
    </row>
    <row r="839" spans="2:15" ht="36.75" customHeight="1" x14ac:dyDescent="0.25">
      <c r="D839" s="833" t="s">
        <v>1259</v>
      </c>
      <c r="E839" s="834" t="s">
        <v>228</v>
      </c>
      <c r="F839" s="832">
        <f t="shared" ref="F839:O839" si="81">F328</f>
        <v>0</v>
      </c>
      <c r="G839" s="832">
        <f t="shared" si="81"/>
        <v>0</v>
      </c>
      <c r="H839" s="832">
        <f t="shared" si="81"/>
        <v>6.0000000000000008E-9</v>
      </c>
      <c r="I839" s="832">
        <f t="shared" si="81"/>
        <v>1.8999999999999998E-8</v>
      </c>
      <c r="J839" s="832">
        <f t="shared" si="81"/>
        <v>6.0000000000000008E-9</v>
      </c>
      <c r="K839" s="832">
        <f t="shared" si="81"/>
        <v>1.8999999999999998E-8</v>
      </c>
      <c r="L839" s="832">
        <f t="shared" si="81"/>
        <v>6.0000000000000008E-9</v>
      </c>
      <c r="M839" s="832">
        <f t="shared" si="81"/>
        <v>1.8999999999999998E-8</v>
      </c>
      <c r="N839" s="832">
        <f t="shared" si="81"/>
        <v>6.0000000000000008E-9</v>
      </c>
      <c r="O839" s="832">
        <f t="shared" si="81"/>
        <v>1.8999999999999998E-8</v>
      </c>
    </row>
    <row r="840" spans="2:15" ht="36.75" customHeight="1" x14ac:dyDescent="0.25">
      <c r="D840" s="833" t="s">
        <v>1260</v>
      </c>
      <c r="E840" s="834" t="s">
        <v>226</v>
      </c>
      <c r="F840" s="832">
        <f t="shared" ref="F840:O840" si="82">F329</f>
        <v>0</v>
      </c>
      <c r="G840" s="832">
        <f t="shared" si="82"/>
        <v>0</v>
      </c>
      <c r="H840" s="832">
        <f t="shared" si="82"/>
        <v>8.0000000000000005E-9</v>
      </c>
      <c r="I840" s="832">
        <f t="shared" si="82"/>
        <v>2.7E-8</v>
      </c>
      <c r="J840" s="832">
        <f t="shared" si="82"/>
        <v>8.0000000000000005E-9</v>
      </c>
      <c r="K840" s="832">
        <f t="shared" si="82"/>
        <v>2.7E-8</v>
      </c>
      <c r="L840" s="832">
        <f t="shared" si="82"/>
        <v>5.1000800000000005E-4</v>
      </c>
      <c r="M840" s="832">
        <f t="shared" si="82"/>
        <v>4.0400269999999999E-3</v>
      </c>
      <c r="N840" s="832">
        <f t="shared" si="82"/>
        <v>5.1000800000000005E-4</v>
      </c>
      <c r="O840" s="832">
        <f t="shared" si="82"/>
        <v>1.6050027000000001E-2</v>
      </c>
    </row>
    <row r="841" spans="2:15" ht="36.75" customHeight="1" x14ac:dyDescent="0.25">
      <c r="D841" s="833" t="s">
        <v>264</v>
      </c>
      <c r="E841" s="834" t="s">
        <v>265</v>
      </c>
      <c r="F841" s="832">
        <f t="shared" ref="F841:O841" si="83">F330</f>
        <v>0</v>
      </c>
      <c r="G841" s="832">
        <f t="shared" si="83"/>
        <v>0</v>
      </c>
      <c r="H841" s="832">
        <f t="shared" si="83"/>
        <v>1.2999999999999999E-5</v>
      </c>
      <c r="I841" s="832">
        <f t="shared" si="83"/>
        <v>5.2000000000000004E-5</v>
      </c>
      <c r="J841" s="832">
        <f t="shared" si="83"/>
        <v>1.2999999999999999E-5</v>
      </c>
      <c r="K841" s="832">
        <f t="shared" si="83"/>
        <v>5.2000000000000004E-5</v>
      </c>
      <c r="L841" s="832">
        <f t="shared" si="83"/>
        <v>1.2999999999999999E-5</v>
      </c>
      <c r="M841" s="832">
        <f t="shared" si="83"/>
        <v>5.2000000000000004E-5</v>
      </c>
      <c r="N841" s="832">
        <f t="shared" si="83"/>
        <v>1.2999999999999999E-5</v>
      </c>
      <c r="O841" s="832">
        <f t="shared" si="83"/>
        <v>5.2000000000000004E-5</v>
      </c>
    </row>
    <row r="842" spans="2:15" ht="36.75" customHeight="1" x14ac:dyDescent="0.25">
      <c r="D842" s="833" t="s">
        <v>573</v>
      </c>
      <c r="E842" s="834" t="s">
        <v>572</v>
      </c>
      <c r="F842" s="832">
        <f t="shared" ref="F842:O842" si="84">F331</f>
        <v>0</v>
      </c>
      <c r="G842" s="832">
        <f t="shared" si="84"/>
        <v>0</v>
      </c>
      <c r="H842" s="832">
        <f t="shared" si="84"/>
        <v>0</v>
      </c>
      <c r="I842" s="832">
        <f t="shared" si="84"/>
        <v>0</v>
      </c>
      <c r="J842" s="832">
        <f t="shared" si="84"/>
        <v>0</v>
      </c>
      <c r="K842" s="832">
        <f t="shared" si="84"/>
        <v>0</v>
      </c>
      <c r="L842" s="832">
        <f t="shared" si="84"/>
        <v>4.4330000000000012E-3</v>
      </c>
      <c r="M842" s="832">
        <f t="shared" si="84"/>
        <v>3.4140000000000004E-2</v>
      </c>
      <c r="N842" s="832">
        <f t="shared" si="84"/>
        <v>4.4330000000000012E-3</v>
      </c>
      <c r="O842" s="832">
        <f t="shared" si="84"/>
        <v>0.13664999999999999</v>
      </c>
    </row>
    <row r="843" spans="2:15" ht="36.75" customHeight="1" x14ac:dyDescent="0.25">
      <c r="B843" s="542"/>
      <c r="D843" s="833" t="s">
        <v>421</v>
      </c>
      <c r="E843" s="834" t="s">
        <v>49</v>
      </c>
      <c r="F843" s="832">
        <f t="shared" ref="F843:O843" si="85">F332+F811</f>
        <v>1.9232</v>
      </c>
      <c r="G843" s="832">
        <f t="shared" si="85"/>
        <v>11.2851</v>
      </c>
      <c r="H843" s="832">
        <f t="shared" si="85"/>
        <v>2.4103400000000001</v>
      </c>
      <c r="I843" s="832">
        <f t="shared" si="85"/>
        <v>13.90108</v>
      </c>
      <c r="J843" s="832">
        <f t="shared" si="85"/>
        <v>2.4103400000000001</v>
      </c>
      <c r="K843" s="832">
        <f t="shared" si="85"/>
        <v>13.90108</v>
      </c>
      <c r="L843" s="832">
        <f t="shared" si="85"/>
        <v>6.4808899999999996</v>
      </c>
      <c r="M843" s="832">
        <f t="shared" si="85"/>
        <v>18.414280000000002</v>
      </c>
      <c r="N843" s="832">
        <f t="shared" si="85"/>
        <v>7.5517900000000004</v>
      </c>
      <c r="O843" s="832">
        <f t="shared" si="85"/>
        <v>18.246079999999999</v>
      </c>
    </row>
    <row r="844" spans="2:15" ht="36.75" customHeight="1" x14ac:dyDescent="0.25">
      <c r="D844" s="833" t="s">
        <v>425</v>
      </c>
      <c r="E844" s="834" t="s">
        <v>426</v>
      </c>
      <c r="F844" s="832">
        <f t="shared" ref="F844:O844" si="86">F333</f>
        <v>0</v>
      </c>
      <c r="G844" s="832">
        <f t="shared" si="86"/>
        <v>0</v>
      </c>
      <c r="H844" s="832">
        <f t="shared" si="86"/>
        <v>0</v>
      </c>
      <c r="I844" s="832">
        <f t="shared" si="86"/>
        <v>0</v>
      </c>
      <c r="J844" s="832">
        <f t="shared" si="86"/>
        <v>0</v>
      </c>
      <c r="K844" s="832">
        <f t="shared" si="86"/>
        <v>0</v>
      </c>
      <c r="L844" s="832">
        <f t="shared" si="86"/>
        <v>7.8000000000000005E-3</v>
      </c>
      <c r="M844" s="832">
        <f t="shared" si="86"/>
        <v>6.1459999999999994E-2</v>
      </c>
      <c r="N844" s="832">
        <f t="shared" si="86"/>
        <v>7.8000000000000005E-3</v>
      </c>
      <c r="O844" s="832">
        <f t="shared" si="86"/>
        <v>0.24596999999999999</v>
      </c>
    </row>
    <row r="845" spans="2:15" ht="36.75" customHeight="1" x14ac:dyDescent="0.25">
      <c r="D845" s="833" t="s">
        <v>597</v>
      </c>
      <c r="E845" s="834" t="s">
        <v>598</v>
      </c>
      <c r="F845" s="832">
        <f t="shared" ref="F845:O845" si="87">F334</f>
        <v>0</v>
      </c>
      <c r="G845" s="832">
        <f t="shared" si="87"/>
        <v>0</v>
      </c>
      <c r="H845" s="832">
        <f t="shared" si="87"/>
        <v>0</v>
      </c>
      <c r="I845" s="832">
        <f t="shared" si="87"/>
        <v>0</v>
      </c>
      <c r="J845" s="832">
        <f t="shared" si="87"/>
        <v>0</v>
      </c>
      <c r="K845" s="832">
        <f t="shared" si="87"/>
        <v>0</v>
      </c>
      <c r="L845" s="832">
        <f t="shared" si="87"/>
        <v>3.3439999999999998E-2</v>
      </c>
      <c r="M845" s="832">
        <f t="shared" si="87"/>
        <v>0.26363999999999993</v>
      </c>
      <c r="N845" s="832">
        <f t="shared" si="87"/>
        <v>3.3439999999999998E-2</v>
      </c>
      <c r="O845" s="832">
        <f t="shared" si="87"/>
        <v>1.0545599999999999</v>
      </c>
    </row>
    <row r="846" spans="2:15" ht="36.75" customHeight="1" x14ac:dyDescent="0.25">
      <c r="B846" s="542"/>
      <c r="D846" s="835" t="s">
        <v>51</v>
      </c>
      <c r="E846" s="836" t="s">
        <v>52</v>
      </c>
      <c r="F846" s="832">
        <f t="shared" ref="F846:O846" si="88">F335+F812</f>
        <v>0.3125</v>
      </c>
      <c r="G846" s="832">
        <f t="shared" si="88"/>
        <v>1.8335999999999999</v>
      </c>
      <c r="H846" s="832">
        <f t="shared" si="88"/>
        <v>0.38994000000000001</v>
      </c>
      <c r="I846" s="832">
        <f t="shared" si="88"/>
        <v>2.2530399999999999</v>
      </c>
      <c r="J846" s="832">
        <f t="shared" si="88"/>
        <v>0.38994000000000001</v>
      </c>
      <c r="K846" s="832">
        <f t="shared" si="88"/>
        <v>2.2530399999999999</v>
      </c>
      <c r="L846" s="832">
        <f t="shared" si="88"/>
        <v>1.0824600000000002</v>
      </c>
      <c r="M846" s="832">
        <f t="shared" si="88"/>
        <v>3.23102</v>
      </c>
      <c r="N846" s="832">
        <f t="shared" si="88"/>
        <v>1.2564600000000001</v>
      </c>
      <c r="O846" s="832">
        <f t="shared" si="88"/>
        <v>3.9313200000000013</v>
      </c>
    </row>
    <row r="847" spans="2:15" ht="36.75" customHeight="1" x14ac:dyDescent="0.25">
      <c r="B847" s="542"/>
      <c r="D847" s="835" t="s">
        <v>427</v>
      </c>
      <c r="E847" s="836" t="s">
        <v>428</v>
      </c>
      <c r="F847" s="832">
        <f t="shared" ref="F847:O847" si="89">F336</f>
        <v>0</v>
      </c>
      <c r="G847" s="832">
        <f t="shared" si="89"/>
        <v>0</v>
      </c>
      <c r="H847" s="832">
        <f t="shared" si="89"/>
        <v>0</v>
      </c>
      <c r="I847" s="832">
        <f t="shared" si="89"/>
        <v>0</v>
      </c>
      <c r="J847" s="832">
        <f t="shared" si="89"/>
        <v>0</v>
      </c>
      <c r="K847" s="832">
        <f t="shared" si="89"/>
        <v>0</v>
      </c>
      <c r="L847" s="832">
        <f t="shared" si="89"/>
        <v>2.1770000000000001E-2</v>
      </c>
      <c r="M847" s="832">
        <f t="shared" si="89"/>
        <v>0.17161999999999999</v>
      </c>
      <c r="N847" s="832">
        <f t="shared" si="89"/>
        <v>2.1770000000000001E-2</v>
      </c>
      <c r="O847" s="832">
        <f t="shared" si="89"/>
        <v>0.68659000000000014</v>
      </c>
    </row>
    <row r="848" spans="2:15" ht="36.75" customHeight="1" x14ac:dyDescent="0.25">
      <c r="B848" s="542"/>
      <c r="D848" s="835" t="s">
        <v>1262</v>
      </c>
      <c r="E848" s="836" t="s">
        <v>571</v>
      </c>
      <c r="F848" s="832">
        <f t="shared" ref="F848:O848" si="90">F337</f>
        <v>0</v>
      </c>
      <c r="G848" s="832">
        <f t="shared" si="90"/>
        <v>0</v>
      </c>
      <c r="H848" s="832">
        <f t="shared" si="90"/>
        <v>0</v>
      </c>
      <c r="I848" s="832">
        <f t="shared" si="90"/>
        <v>0</v>
      </c>
      <c r="J848" s="832">
        <f t="shared" si="90"/>
        <v>0</v>
      </c>
      <c r="K848" s="832">
        <f t="shared" si="90"/>
        <v>0</v>
      </c>
      <c r="L848" s="832">
        <f t="shared" si="90"/>
        <v>3.3156419999999999E-2</v>
      </c>
      <c r="M848" s="832">
        <f t="shared" si="90"/>
        <v>0.25581000000000004</v>
      </c>
      <c r="N848" s="832">
        <f t="shared" si="90"/>
        <v>3.3156419999999999E-2</v>
      </c>
      <c r="O848" s="832">
        <f t="shared" si="90"/>
        <v>1.02321</v>
      </c>
    </row>
    <row r="849" spans="2:15" ht="36.75" customHeight="1" x14ac:dyDescent="0.25">
      <c r="B849" s="542"/>
      <c r="D849" s="835" t="s">
        <v>423</v>
      </c>
      <c r="E849" s="836" t="s">
        <v>424</v>
      </c>
      <c r="F849" s="832">
        <f t="shared" ref="F849:O849" si="91">F338</f>
        <v>0</v>
      </c>
      <c r="G849" s="832">
        <f t="shared" si="91"/>
        <v>0</v>
      </c>
      <c r="H849" s="832">
        <f t="shared" si="91"/>
        <v>0</v>
      </c>
      <c r="I849" s="832">
        <f t="shared" si="91"/>
        <v>0</v>
      </c>
      <c r="J849" s="832">
        <f t="shared" si="91"/>
        <v>0</v>
      </c>
      <c r="K849" s="832">
        <f t="shared" si="91"/>
        <v>0</v>
      </c>
      <c r="L849" s="832">
        <f t="shared" si="91"/>
        <v>1.3792000000000002E-2</v>
      </c>
      <c r="M849" s="832">
        <f t="shared" si="91"/>
        <v>0.10075000000000001</v>
      </c>
      <c r="N849" s="832">
        <f t="shared" si="91"/>
        <v>1.3792000000000002E-2</v>
      </c>
      <c r="O849" s="832">
        <f t="shared" si="91"/>
        <v>0.40294000000000002</v>
      </c>
    </row>
    <row r="850" spans="2:15" ht="36.75" customHeight="1" x14ac:dyDescent="0.25">
      <c r="B850" s="542"/>
      <c r="D850" s="835" t="s">
        <v>61</v>
      </c>
      <c r="E850" s="836" t="s">
        <v>62</v>
      </c>
      <c r="F850" s="832">
        <f t="shared" ref="F850:O850" si="92">F339+F815</f>
        <v>5.67E-2</v>
      </c>
      <c r="G850" s="832">
        <f t="shared" si="92"/>
        <v>0.33650000000000002</v>
      </c>
      <c r="H850" s="832">
        <f t="shared" si="92"/>
        <v>0.14411000000000002</v>
      </c>
      <c r="I850" s="832">
        <f t="shared" si="92"/>
        <v>0.73540899999999998</v>
      </c>
      <c r="J850" s="832">
        <f t="shared" si="92"/>
        <v>0.14411000000000002</v>
      </c>
      <c r="K850" s="832">
        <f t="shared" si="92"/>
        <v>0.73540899999999998</v>
      </c>
      <c r="L850" s="832">
        <f t="shared" si="92"/>
        <v>0.45900999999999992</v>
      </c>
      <c r="M850" s="832">
        <f t="shared" si="92"/>
        <v>1.5638989999999997</v>
      </c>
      <c r="N850" s="832">
        <f t="shared" si="92"/>
        <v>0.63630999999999982</v>
      </c>
      <c r="O850" s="832">
        <f t="shared" si="92"/>
        <v>2.7883989999999996</v>
      </c>
    </row>
    <row r="851" spans="2:15" ht="36.75" customHeight="1" x14ac:dyDescent="0.25">
      <c r="B851" s="542"/>
      <c r="D851" s="835" t="s">
        <v>56</v>
      </c>
      <c r="E851" s="836" t="s">
        <v>57</v>
      </c>
      <c r="F851" s="832">
        <f t="shared" ref="F851:O851" si="93">F340+F813</f>
        <v>0.55499999999999994</v>
      </c>
      <c r="G851" s="832">
        <f t="shared" si="93"/>
        <v>3.2995000000000001</v>
      </c>
      <c r="H851" s="832">
        <f t="shared" si="93"/>
        <v>0.61152999999999991</v>
      </c>
      <c r="I851" s="832">
        <f t="shared" si="93"/>
        <v>3.57822</v>
      </c>
      <c r="J851" s="832">
        <f t="shared" si="93"/>
        <v>0.61152999999999991</v>
      </c>
      <c r="K851" s="832">
        <f t="shared" si="93"/>
        <v>3.57822</v>
      </c>
      <c r="L851" s="832">
        <f t="shared" si="93"/>
        <v>1.5502411999999997</v>
      </c>
      <c r="M851" s="832">
        <f t="shared" si="93"/>
        <v>4.2607699999999999</v>
      </c>
      <c r="N851" s="832">
        <f t="shared" si="93"/>
        <v>1.6628411999999999</v>
      </c>
      <c r="O851" s="832">
        <f t="shared" si="93"/>
        <v>2.9397200000000012</v>
      </c>
    </row>
    <row r="852" spans="2:15" ht="36.75" customHeight="1" x14ac:dyDescent="0.25">
      <c r="B852" s="542"/>
      <c r="D852" s="833" t="s">
        <v>104</v>
      </c>
      <c r="E852" s="837" t="s">
        <v>105</v>
      </c>
      <c r="F852" s="832">
        <f t="shared" ref="F852:O852" si="94">F341</f>
        <v>3.1599999999999998E-4</v>
      </c>
      <c r="G852" s="832">
        <f t="shared" si="94"/>
        <v>2.6400000000000002E-4</v>
      </c>
      <c r="H852" s="832">
        <f t="shared" si="94"/>
        <v>3.1599999999999998E-4</v>
      </c>
      <c r="I852" s="832">
        <f t="shared" si="94"/>
        <v>2.6400000000000002E-4</v>
      </c>
      <c r="J852" s="832">
        <f t="shared" si="94"/>
        <v>3.1599999999999998E-4</v>
      </c>
      <c r="K852" s="832">
        <f t="shared" si="94"/>
        <v>2.6400000000000002E-4</v>
      </c>
      <c r="L852" s="832">
        <f t="shared" si="94"/>
        <v>3.1599999999999998E-4</v>
      </c>
      <c r="M852" s="832">
        <f t="shared" si="94"/>
        <v>2.6400000000000002E-4</v>
      </c>
      <c r="N852" s="832">
        <f t="shared" si="94"/>
        <v>3.1599999999999998E-4</v>
      </c>
      <c r="O852" s="832">
        <f t="shared" si="94"/>
        <v>8.5000000000000006E-5</v>
      </c>
    </row>
    <row r="853" spans="2:15" ht="36.75" customHeight="1" x14ac:dyDescent="0.25">
      <c r="B853" s="542"/>
      <c r="D853" s="833" t="s">
        <v>775</v>
      </c>
      <c r="E853" s="834" t="s">
        <v>66</v>
      </c>
      <c r="F853" s="832">
        <f t="shared" ref="F853:O853" si="95">F342+F816</f>
        <v>7.8666999999999998</v>
      </c>
      <c r="G853" s="832">
        <f t="shared" si="95"/>
        <v>46.781499999999994</v>
      </c>
      <c r="H853" s="832">
        <f t="shared" si="95"/>
        <v>8.5087799999999998</v>
      </c>
      <c r="I853" s="832">
        <f t="shared" si="95"/>
        <v>49.138709999999996</v>
      </c>
      <c r="J853" s="832">
        <f t="shared" si="95"/>
        <v>8.5087799999999998</v>
      </c>
      <c r="K853" s="832">
        <f t="shared" si="95"/>
        <v>49.138709999999996</v>
      </c>
      <c r="L853" s="832">
        <f t="shared" si="95"/>
        <v>21.568600000000004</v>
      </c>
      <c r="M853" s="832">
        <f t="shared" si="95"/>
        <v>53.926439999999978</v>
      </c>
      <c r="N853" s="832">
        <f t="shared" si="95"/>
        <v>23.563400000000009</v>
      </c>
      <c r="O853" s="832">
        <f t="shared" si="95"/>
        <v>23.580220000000001</v>
      </c>
    </row>
    <row r="854" spans="2:15" ht="36.75" customHeight="1" x14ac:dyDescent="0.25">
      <c r="D854" s="833" t="s">
        <v>141</v>
      </c>
      <c r="E854" s="834" t="s">
        <v>142</v>
      </c>
      <c r="F854" s="832">
        <f t="shared" ref="F854:O854" si="96">F343</f>
        <v>0</v>
      </c>
      <c r="G854" s="832">
        <f t="shared" si="96"/>
        <v>0</v>
      </c>
      <c r="H854" s="832">
        <f t="shared" si="96"/>
        <v>1.2999999999999997E-3</v>
      </c>
      <c r="I854" s="832">
        <f t="shared" si="96"/>
        <v>3.9399999999999999E-3</v>
      </c>
      <c r="J854" s="832">
        <f t="shared" si="96"/>
        <v>1.2999999999999997E-3</v>
      </c>
      <c r="K854" s="832">
        <f t="shared" si="96"/>
        <v>3.9399999999999999E-3</v>
      </c>
      <c r="L854" s="832">
        <f t="shared" si="96"/>
        <v>1.2999999999999997E-3</v>
      </c>
      <c r="M854" s="832">
        <f t="shared" si="96"/>
        <v>3.9399999999999999E-3</v>
      </c>
      <c r="N854" s="832">
        <f t="shared" si="96"/>
        <v>1.2999999999999997E-3</v>
      </c>
      <c r="O854" s="832">
        <f t="shared" si="96"/>
        <v>3.9399999999999999E-3</v>
      </c>
    </row>
    <row r="855" spans="2:15" ht="36.75" customHeight="1" x14ac:dyDescent="0.25">
      <c r="D855" s="833" t="s">
        <v>138</v>
      </c>
      <c r="E855" s="834" t="s">
        <v>139</v>
      </c>
      <c r="F855" s="832">
        <f t="shared" ref="F855:O855" si="97">F344</f>
        <v>0</v>
      </c>
      <c r="G855" s="832">
        <f t="shared" si="97"/>
        <v>0</v>
      </c>
      <c r="H855" s="832">
        <f t="shared" si="97"/>
        <v>2.4000000000000001E-4</v>
      </c>
      <c r="I855" s="832">
        <f t="shared" si="97"/>
        <v>6.600000000000001E-4</v>
      </c>
      <c r="J855" s="832">
        <f t="shared" si="97"/>
        <v>2.4000000000000001E-4</v>
      </c>
      <c r="K855" s="832">
        <f t="shared" si="97"/>
        <v>6.600000000000001E-4</v>
      </c>
      <c r="L855" s="832">
        <f t="shared" si="97"/>
        <v>2.4000000000000001E-4</v>
      </c>
      <c r="M855" s="832">
        <f t="shared" si="97"/>
        <v>6.600000000000001E-4</v>
      </c>
      <c r="N855" s="832">
        <f t="shared" si="97"/>
        <v>2.4000000000000001E-4</v>
      </c>
      <c r="O855" s="832">
        <f t="shared" si="97"/>
        <v>6.600000000000001E-4</v>
      </c>
    </row>
    <row r="856" spans="2:15" ht="36.75" customHeight="1" x14ac:dyDescent="0.25">
      <c r="D856" s="833" t="s">
        <v>429</v>
      </c>
      <c r="E856" s="834" t="s">
        <v>430</v>
      </c>
      <c r="F856" s="832">
        <f t="shared" ref="F856:O856" si="98">F345</f>
        <v>0</v>
      </c>
      <c r="G856" s="832">
        <f t="shared" si="98"/>
        <v>0</v>
      </c>
      <c r="H856" s="832">
        <f t="shared" si="98"/>
        <v>0</v>
      </c>
      <c r="I856" s="832">
        <f t="shared" si="98"/>
        <v>0</v>
      </c>
      <c r="J856" s="832">
        <f t="shared" si="98"/>
        <v>0</v>
      </c>
      <c r="K856" s="832">
        <f t="shared" si="98"/>
        <v>0</v>
      </c>
      <c r="L856" s="832">
        <f t="shared" si="98"/>
        <v>8.9999999999999992E-5</v>
      </c>
      <c r="M856" s="832">
        <f t="shared" si="98"/>
        <v>7.7999999999999999E-4</v>
      </c>
      <c r="N856" s="832">
        <f t="shared" si="98"/>
        <v>8.9999999999999992E-5</v>
      </c>
      <c r="O856" s="832">
        <f t="shared" si="98"/>
        <v>2.82E-3</v>
      </c>
    </row>
    <row r="857" spans="2:15" ht="36.75" customHeight="1" x14ac:dyDescent="0.25">
      <c r="D857" s="838" t="s">
        <v>1474</v>
      </c>
      <c r="E857" s="839" t="s">
        <v>1475</v>
      </c>
      <c r="F857" s="832"/>
      <c r="G857" s="832"/>
      <c r="H857" s="832"/>
      <c r="I857" s="832"/>
      <c r="J857" s="832"/>
      <c r="K857" s="832"/>
      <c r="L857" s="832">
        <f t="shared" ref="L857:O860" si="99">L346</f>
        <v>9.9999999999999995E-8</v>
      </c>
      <c r="M857" s="832">
        <f t="shared" si="99"/>
        <v>1.0000000000000001E-9</v>
      </c>
      <c r="N857" s="832">
        <f t="shared" si="99"/>
        <v>9.9999999999999995E-8</v>
      </c>
      <c r="O857" s="832">
        <f t="shared" si="99"/>
        <v>3E-9</v>
      </c>
    </row>
    <row r="858" spans="2:15" ht="36.75" customHeight="1" x14ac:dyDescent="0.25">
      <c r="D858" s="833" t="s">
        <v>1159</v>
      </c>
      <c r="E858" s="834" t="s">
        <v>243</v>
      </c>
      <c r="F858" s="832">
        <f t="shared" ref="F858:K860" si="100">F347</f>
        <v>0</v>
      </c>
      <c r="G858" s="832">
        <f t="shared" si="100"/>
        <v>0</v>
      </c>
      <c r="H858" s="832">
        <f t="shared" si="100"/>
        <v>3.3300000000000005E-3</v>
      </c>
      <c r="I858" s="832">
        <f t="shared" si="100"/>
        <v>1.014E-2</v>
      </c>
      <c r="J858" s="832">
        <f t="shared" si="100"/>
        <v>3.3300000000000005E-3</v>
      </c>
      <c r="K858" s="832">
        <f t="shared" si="100"/>
        <v>1.014E-2</v>
      </c>
      <c r="L858" s="832">
        <f t="shared" si="99"/>
        <v>3.3300000000000005E-3</v>
      </c>
      <c r="M858" s="832">
        <f t="shared" si="99"/>
        <v>1.014E-2</v>
      </c>
      <c r="N858" s="832">
        <f t="shared" si="99"/>
        <v>3.3300000000000005E-3</v>
      </c>
      <c r="O858" s="832">
        <f t="shared" si="99"/>
        <v>1.014E-2</v>
      </c>
    </row>
    <row r="859" spans="2:15" ht="36.75" customHeight="1" x14ac:dyDescent="0.25">
      <c r="D859" s="833" t="s">
        <v>778</v>
      </c>
      <c r="E859" s="834" t="s">
        <v>779</v>
      </c>
      <c r="F859" s="832">
        <f t="shared" si="100"/>
        <v>0</v>
      </c>
      <c r="G859" s="832">
        <f t="shared" si="100"/>
        <v>0</v>
      </c>
      <c r="H859" s="832">
        <f t="shared" si="100"/>
        <v>0</v>
      </c>
      <c r="I859" s="832">
        <f t="shared" si="100"/>
        <v>0</v>
      </c>
      <c r="J859" s="832">
        <f t="shared" si="100"/>
        <v>0</v>
      </c>
      <c r="K859" s="832">
        <f t="shared" si="100"/>
        <v>0</v>
      </c>
      <c r="L859" s="832">
        <f t="shared" si="99"/>
        <v>1.6999999999999999E-3</v>
      </c>
      <c r="M859" s="832">
        <f t="shared" si="99"/>
        <v>1.0000000000000001E-5</v>
      </c>
      <c r="N859" s="832">
        <f t="shared" si="99"/>
        <v>1.6999999999999999E-3</v>
      </c>
      <c r="O859" s="832">
        <f t="shared" si="99"/>
        <v>4.0000000000000003E-5</v>
      </c>
    </row>
    <row r="860" spans="2:15" ht="63" customHeight="1" x14ac:dyDescent="0.25">
      <c r="D860" s="833" t="s">
        <v>590</v>
      </c>
      <c r="E860" s="834" t="s">
        <v>591</v>
      </c>
      <c r="F860" s="832">
        <f t="shared" si="100"/>
        <v>0</v>
      </c>
      <c r="G860" s="832">
        <f t="shared" si="100"/>
        <v>0</v>
      </c>
      <c r="H860" s="832">
        <f t="shared" si="100"/>
        <v>0</v>
      </c>
      <c r="I860" s="832">
        <f t="shared" si="100"/>
        <v>0</v>
      </c>
      <c r="J860" s="832">
        <f t="shared" si="100"/>
        <v>0</v>
      </c>
      <c r="K860" s="832">
        <f t="shared" si="100"/>
        <v>0</v>
      </c>
      <c r="L860" s="832">
        <f t="shared" si="99"/>
        <v>4.8399999999999997E-3</v>
      </c>
      <c r="M860" s="832">
        <f t="shared" si="99"/>
        <v>3.8159999999999999E-2</v>
      </c>
      <c r="N860" s="832">
        <f t="shared" si="99"/>
        <v>4.8399999999999997E-3</v>
      </c>
      <c r="O860" s="832">
        <f t="shared" si="99"/>
        <v>0.15262999999999999</v>
      </c>
    </row>
    <row r="861" spans="2:15" s="522" customFormat="1" ht="36.75" customHeight="1" x14ac:dyDescent="0.25">
      <c r="B861" s="518"/>
      <c r="C861" s="520"/>
      <c r="D861" s="840" t="s">
        <v>177</v>
      </c>
      <c r="E861" s="841" t="s">
        <v>178</v>
      </c>
      <c r="F861" s="842">
        <f t="shared" ref="F861:O861" si="101">F814</f>
        <v>0</v>
      </c>
      <c r="G861" s="842">
        <f t="shared" si="101"/>
        <v>0</v>
      </c>
      <c r="H861" s="842">
        <f t="shared" si="101"/>
        <v>0.14550000000000002</v>
      </c>
      <c r="I861" s="842">
        <f t="shared" si="101"/>
        <v>0.63741999999999988</v>
      </c>
      <c r="J861" s="842">
        <f t="shared" si="101"/>
        <v>0.14550000000000002</v>
      </c>
      <c r="K861" s="842">
        <f t="shared" si="101"/>
        <v>0.63741999999999988</v>
      </c>
      <c r="L861" s="842">
        <f t="shared" si="101"/>
        <v>0.56740000000000002</v>
      </c>
      <c r="M861" s="842">
        <f t="shared" si="101"/>
        <v>1.7801199999999999</v>
      </c>
      <c r="N861" s="842">
        <f t="shared" si="101"/>
        <v>0.94190000000000007</v>
      </c>
      <c r="O861" s="842">
        <f t="shared" si="101"/>
        <v>3.9705199999999992</v>
      </c>
    </row>
    <row r="862" spans="2:15" ht="36.75" customHeight="1" x14ac:dyDescent="0.25">
      <c r="D862" s="833" t="s">
        <v>345</v>
      </c>
      <c r="E862" s="834" t="s">
        <v>1261</v>
      </c>
      <c r="F862" s="832">
        <f t="shared" ref="F862:O862" si="102">F350</f>
        <v>0</v>
      </c>
      <c r="G862" s="832">
        <f t="shared" si="102"/>
        <v>0</v>
      </c>
      <c r="H862" s="832">
        <f t="shared" si="102"/>
        <v>3.0000000000000001E-5</v>
      </c>
      <c r="I862" s="832">
        <f t="shared" si="102"/>
        <v>6.0000000000000002E-5</v>
      </c>
      <c r="J862" s="832">
        <f t="shared" si="102"/>
        <v>3.0000000000000001E-5</v>
      </c>
      <c r="K862" s="832">
        <f t="shared" si="102"/>
        <v>6.0000000000000002E-5</v>
      </c>
      <c r="L862" s="832">
        <f t="shared" si="102"/>
        <v>3.0000000000000001E-5</v>
      </c>
      <c r="M862" s="832">
        <f t="shared" si="102"/>
        <v>6.0000000000000002E-5</v>
      </c>
      <c r="N862" s="832">
        <f t="shared" si="102"/>
        <v>3.0000000000000001E-5</v>
      </c>
      <c r="O862" s="832">
        <f t="shared" si="102"/>
        <v>6.0000000000000002E-5</v>
      </c>
    </row>
    <row r="863" spans="2:15" ht="36.75" customHeight="1" x14ac:dyDescent="0.25">
      <c r="D863" s="833" t="s">
        <v>1160</v>
      </c>
      <c r="E863" s="837">
        <v>2754</v>
      </c>
      <c r="F863" s="832">
        <f t="shared" ref="F863:O863" si="103">F351</f>
        <v>0.11347000000000002</v>
      </c>
      <c r="G863" s="832">
        <f t="shared" si="103"/>
        <v>9.0502000000000013E-2</v>
      </c>
      <c r="H863" s="832">
        <f t="shared" si="103"/>
        <v>0.11347000000000002</v>
      </c>
      <c r="I863" s="832">
        <f t="shared" si="103"/>
        <v>9.0502000000000013E-2</v>
      </c>
      <c r="J863" s="832">
        <f t="shared" si="103"/>
        <v>0.11347000000000002</v>
      </c>
      <c r="K863" s="832">
        <f t="shared" si="103"/>
        <v>9.0502000000000013E-2</v>
      </c>
      <c r="L863" s="832">
        <f t="shared" si="103"/>
        <v>0.15347</v>
      </c>
      <c r="M863" s="832">
        <f t="shared" si="103"/>
        <v>9.0702000000000005E-2</v>
      </c>
      <c r="N863" s="832">
        <f t="shared" si="103"/>
        <v>0.15347</v>
      </c>
      <c r="O863" s="832">
        <f t="shared" si="103"/>
        <v>3.3532000000000006E-2</v>
      </c>
    </row>
    <row r="864" spans="2:15" ht="36.75" customHeight="1" x14ac:dyDescent="0.25">
      <c r="D864" s="833" t="s">
        <v>1258</v>
      </c>
      <c r="E864" s="837">
        <v>2844</v>
      </c>
      <c r="F864" s="832">
        <f t="shared" ref="F864:O864" si="104">F352</f>
        <v>0</v>
      </c>
      <c r="G864" s="832">
        <f t="shared" si="104"/>
        <v>0</v>
      </c>
      <c r="H864" s="832">
        <f t="shared" si="104"/>
        <v>2.1449999999999998E-3</v>
      </c>
      <c r="I864" s="832">
        <f t="shared" si="104"/>
        <v>6.5400000000000007E-3</v>
      </c>
      <c r="J864" s="832">
        <f t="shared" si="104"/>
        <v>2.1449999999999998E-3</v>
      </c>
      <c r="K864" s="832">
        <f t="shared" si="104"/>
        <v>6.5400000000000007E-3</v>
      </c>
      <c r="L864" s="832">
        <f t="shared" si="104"/>
        <v>2.1449999999999998E-3</v>
      </c>
      <c r="M864" s="832">
        <f t="shared" si="104"/>
        <v>6.5400000000000007E-3</v>
      </c>
      <c r="N864" s="832">
        <f t="shared" si="104"/>
        <v>2.1449999999999998E-3</v>
      </c>
      <c r="O864" s="832">
        <f t="shared" si="104"/>
        <v>6.5400000000000007E-3</v>
      </c>
    </row>
    <row r="865" spans="4:15" ht="36.75" customHeight="1" x14ac:dyDescent="0.25">
      <c r="D865" s="833" t="s">
        <v>1254</v>
      </c>
      <c r="E865" s="837">
        <v>2902</v>
      </c>
      <c r="F865" s="832">
        <f t="shared" ref="F865:O865" si="105">F353</f>
        <v>0</v>
      </c>
      <c r="G865" s="832">
        <f t="shared" si="105"/>
        <v>0</v>
      </c>
      <c r="H865" s="832">
        <f t="shared" si="105"/>
        <v>2.6459999999999997E-2</v>
      </c>
      <c r="I865" s="832">
        <f t="shared" si="105"/>
        <v>2.9869999999999997E-2</v>
      </c>
      <c r="J865" s="832">
        <f t="shared" si="105"/>
        <v>2.6459999999999997E-2</v>
      </c>
      <c r="K865" s="832">
        <f t="shared" si="105"/>
        <v>2.9869999999999997E-2</v>
      </c>
      <c r="L865" s="832">
        <f t="shared" si="105"/>
        <v>2.6459999999999997E-2</v>
      </c>
      <c r="M865" s="832">
        <f t="shared" si="105"/>
        <v>2.9869999999999997E-2</v>
      </c>
      <c r="N865" s="832">
        <f t="shared" si="105"/>
        <v>2.6459999999999997E-2</v>
      </c>
      <c r="O865" s="832">
        <f t="shared" si="105"/>
        <v>2.9869999999999997E-2</v>
      </c>
    </row>
    <row r="866" spans="4:15" ht="45" customHeight="1" x14ac:dyDescent="0.25">
      <c r="D866" s="833" t="s">
        <v>1256</v>
      </c>
      <c r="E866" s="837" t="s">
        <v>415</v>
      </c>
      <c r="F866" s="832">
        <f t="shared" ref="F866:O866" si="106">F354</f>
        <v>0</v>
      </c>
      <c r="G866" s="832">
        <f t="shared" si="106"/>
        <v>0</v>
      </c>
      <c r="H866" s="832">
        <f t="shared" si="106"/>
        <v>1.3999999999999999E-4</v>
      </c>
      <c r="I866" s="832">
        <f t="shared" si="106"/>
        <v>2.5000000000000001E-4</v>
      </c>
      <c r="J866" s="832">
        <f t="shared" si="106"/>
        <v>1.3999999999999999E-4</v>
      </c>
      <c r="K866" s="832">
        <f t="shared" si="106"/>
        <v>2.5000000000000001E-4</v>
      </c>
      <c r="L866" s="832">
        <f t="shared" si="106"/>
        <v>4.1099999999999991E-3</v>
      </c>
      <c r="M866" s="832">
        <f t="shared" si="106"/>
        <v>2.9659999999999999E-2</v>
      </c>
      <c r="N866" s="832">
        <f t="shared" si="106"/>
        <v>4.1099999999999991E-3</v>
      </c>
      <c r="O866" s="832">
        <f t="shared" si="106"/>
        <v>0.11811999999999999</v>
      </c>
    </row>
    <row r="867" spans="4:15" ht="36.75" customHeight="1" x14ac:dyDescent="0.25">
      <c r="D867" s="833" t="s">
        <v>1161</v>
      </c>
      <c r="E867" s="837" t="s">
        <v>140</v>
      </c>
      <c r="F867" s="832">
        <f t="shared" ref="F867:O867" si="107">F355</f>
        <v>0</v>
      </c>
      <c r="G867" s="832">
        <f t="shared" si="107"/>
        <v>0</v>
      </c>
      <c r="H867" s="832">
        <f t="shared" si="107"/>
        <v>1.2400000000000001E-4</v>
      </c>
      <c r="I867" s="832">
        <f t="shared" si="107"/>
        <v>3.1900000000000011E-4</v>
      </c>
      <c r="J867" s="832">
        <f t="shared" si="107"/>
        <v>1.2400000000000001E-4</v>
      </c>
      <c r="K867" s="832">
        <f t="shared" si="107"/>
        <v>3.1900000000000011E-4</v>
      </c>
      <c r="L867" s="832">
        <f t="shared" si="107"/>
        <v>4.7933999999999997E-2</v>
      </c>
      <c r="M867" s="832">
        <f t="shared" si="107"/>
        <v>0.37724900000000006</v>
      </c>
      <c r="N867" s="832">
        <f t="shared" si="107"/>
        <v>8.9534000000000002E-2</v>
      </c>
      <c r="O867" s="832">
        <f t="shared" si="107"/>
        <v>1.838749</v>
      </c>
    </row>
    <row r="868" spans="4:15" ht="36.75" customHeight="1" x14ac:dyDescent="0.25">
      <c r="D868" s="833" t="s">
        <v>146</v>
      </c>
      <c r="E868" s="837" t="s">
        <v>1255</v>
      </c>
      <c r="F868" s="832">
        <f t="shared" ref="F868:O868" si="108">F356</f>
        <v>0</v>
      </c>
      <c r="G868" s="832">
        <f t="shared" si="108"/>
        <v>0</v>
      </c>
      <c r="H868" s="832">
        <f t="shared" si="108"/>
        <v>1.431E-2</v>
      </c>
      <c r="I868" s="832">
        <f t="shared" si="108"/>
        <v>1.6639999999999999E-2</v>
      </c>
      <c r="J868" s="832">
        <f t="shared" si="108"/>
        <v>1.431E-2</v>
      </c>
      <c r="K868" s="832">
        <f t="shared" si="108"/>
        <v>1.6639999999999999E-2</v>
      </c>
      <c r="L868" s="832">
        <f t="shared" si="108"/>
        <v>1.431E-2</v>
      </c>
      <c r="M868" s="832">
        <f t="shared" si="108"/>
        <v>1.6639999999999999E-2</v>
      </c>
      <c r="N868" s="832">
        <f t="shared" si="108"/>
        <v>1.431E-2</v>
      </c>
      <c r="O868" s="832">
        <f t="shared" si="108"/>
        <v>1.6639999999999999E-2</v>
      </c>
    </row>
    <row r="869" spans="4:15" ht="36.75" customHeight="1" x14ac:dyDescent="0.25">
      <c r="D869" s="843" t="s">
        <v>1263</v>
      </c>
      <c r="E869" s="837" t="s">
        <v>441</v>
      </c>
      <c r="F869" s="832">
        <f t="shared" ref="F869:O869" si="109">F357</f>
        <v>0</v>
      </c>
      <c r="G869" s="832">
        <f t="shared" si="109"/>
        <v>0</v>
      </c>
      <c r="H869" s="832">
        <f t="shared" si="109"/>
        <v>0</v>
      </c>
      <c r="I869" s="832">
        <f t="shared" si="109"/>
        <v>0</v>
      </c>
      <c r="J869" s="832">
        <f t="shared" si="109"/>
        <v>0</v>
      </c>
      <c r="K869" s="832">
        <f t="shared" si="109"/>
        <v>0</v>
      </c>
      <c r="L869" s="832">
        <f t="shared" si="109"/>
        <v>1.8293400000000002</v>
      </c>
      <c r="M869" s="832">
        <f t="shared" si="109"/>
        <v>12.386619999999999</v>
      </c>
      <c r="N869" s="832">
        <f t="shared" si="109"/>
        <v>2.0577399999999999</v>
      </c>
      <c r="O869" s="832">
        <f t="shared" si="109"/>
        <v>16.034289999999999</v>
      </c>
    </row>
    <row r="870" spans="4:15" ht="36.75" customHeight="1" x14ac:dyDescent="0.25">
      <c r="D870" s="843" t="s">
        <v>689</v>
      </c>
      <c r="E870" s="837" t="s">
        <v>690</v>
      </c>
      <c r="F870" s="832">
        <f t="shared" ref="F870:O870" si="110">F358</f>
        <v>0</v>
      </c>
      <c r="G870" s="832">
        <f t="shared" si="110"/>
        <v>0</v>
      </c>
      <c r="H870" s="832">
        <f t="shared" si="110"/>
        <v>0</v>
      </c>
      <c r="I870" s="832">
        <f t="shared" si="110"/>
        <v>0</v>
      </c>
      <c r="J870" s="832">
        <f t="shared" si="110"/>
        <v>0</v>
      </c>
      <c r="K870" s="832">
        <f t="shared" si="110"/>
        <v>0</v>
      </c>
      <c r="L870" s="832">
        <f t="shared" si="110"/>
        <v>3.1000000000000003E-3</v>
      </c>
      <c r="M870" s="832">
        <f t="shared" si="110"/>
        <v>2.444E-2</v>
      </c>
      <c r="N870" s="832">
        <f t="shared" si="110"/>
        <v>3.1000000000000003E-3</v>
      </c>
      <c r="O870" s="832">
        <f t="shared" si="110"/>
        <v>9.776E-2</v>
      </c>
    </row>
    <row r="871" spans="4:15" x14ac:dyDescent="0.25">
      <c r="D871" s="1008" t="s">
        <v>1162</v>
      </c>
      <c r="E871" s="1009"/>
      <c r="F871" s="694">
        <f t="shared" ref="F871:O871" si="111">SUM(F829:F870)</f>
        <v>10.827885999999999</v>
      </c>
      <c r="G871" s="694">
        <f t="shared" si="111"/>
        <v>63.626965999999996</v>
      </c>
      <c r="H871" s="694">
        <f t="shared" si="111"/>
        <v>12.415157014000002</v>
      </c>
      <c r="I871" s="824">
        <f t="shared" si="111"/>
        <v>70.491206046000002</v>
      </c>
      <c r="J871" s="694">
        <f t="shared" si="111"/>
        <v>12.415157014000002</v>
      </c>
      <c r="K871" s="694">
        <f t="shared" si="111"/>
        <v>70.491206046000002</v>
      </c>
      <c r="L871" s="710">
        <f t="shared" si="111"/>
        <v>34.058848084000005</v>
      </c>
      <c r="M871" s="710">
        <f t="shared" si="111"/>
        <v>98.025097047000003</v>
      </c>
      <c r="N871" s="710">
        <f t="shared" si="111"/>
        <v>38.232948084000007</v>
      </c>
      <c r="O871" s="710">
        <f t="shared" si="111"/>
        <v>80.564671048999969</v>
      </c>
    </row>
  </sheetData>
  <mergeCells count="137">
    <mergeCell ref="B811:B816"/>
    <mergeCell ref="B451:B456"/>
    <mergeCell ref="B769:B774"/>
    <mergeCell ref="B775:B780"/>
    <mergeCell ref="B781:B786"/>
    <mergeCell ref="B787:B792"/>
    <mergeCell ref="B463:B468"/>
    <mergeCell ref="B469:B474"/>
    <mergeCell ref="B475:B480"/>
    <mergeCell ref="B481:B486"/>
    <mergeCell ref="B487:B492"/>
    <mergeCell ref="B493:B498"/>
    <mergeCell ref="B499:B504"/>
    <mergeCell ref="B505:B510"/>
    <mergeCell ref="B511:B516"/>
    <mergeCell ref="B553:B558"/>
    <mergeCell ref="B559:B564"/>
    <mergeCell ref="B565:B570"/>
    <mergeCell ref="B571:B576"/>
    <mergeCell ref="B757:B762"/>
    <mergeCell ref="B589:B594"/>
    <mergeCell ref="B595:B600"/>
    <mergeCell ref="B643:B648"/>
    <mergeCell ref="B649:B654"/>
    <mergeCell ref="B1:C1"/>
    <mergeCell ref="D1:M1"/>
    <mergeCell ref="F3:G3"/>
    <mergeCell ref="H3:I3"/>
    <mergeCell ref="J3:K3"/>
    <mergeCell ref="L3:M3"/>
    <mergeCell ref="D313:M313"/>
    <mergeCell ref="F314:G314"/>
    <mergeCell ref="H314:I314"/>
    <mergeCell ref="J314:K314"/>
    <mergeCell ref="L314:M314"/>
    <mergeCell ref="B32:B33"/>
    <mergeCell ref="B302:B303"/>
    <mergeCell ref="B63:B73"/>
    <mergeCell ref="B34:B44"/>
    <mergeCell ref="B92:B143"/>
    <mergeCell ref="B46:B60"/>
    <mergeCell ref="B75:B84"/>
    <mergeCell ref="B87:B90"/>
    <mergeCell ref="B294:B301"/>
    <mergeCell ref="B171:B286"/>
    <mergeCell ref="B166:B170"/>
    <mergeCell ref="B287:B290"/>
    <mergeCell ref="N3:O3"/>
    <mergeCell ref="N314:O314"/>
    <mergeCell ref="N315:O315"/>
    <mergeCell ref="N365:O365"/>
    <mergeCell ref="B5:B29"/>
    <mergeCell ref="B30:B31"/>
    <mergeCell ref="D359:E359"/>
    <mergeCell ref="D364:M364"/>
    <mergeCell ref="F365:G365"/>
    <mergeCell ref="H365:I365"/>
    <mergeCell ref="J365:K365"/>
    <mergeCell ref="L365:M365"/>
    <mergeCell ref="D315:D316"/>
    <mergeCell ref="E315:E316"/>
    <mergeCell ref="F315:G315"/>
    <mergeCell ref="H315:I315"/>
    <mergeCell ref="J315:K315"/>
    <mergeCell ref="L315:M315"/>
    <mergeCell ref="B291:B293"/>
    <mergeCell ref="B715:B720"/>
    <mergeCell ref="B739:B744"/>
    <mergeCell ref="B703:B708"/>
    <mergeCell ref="B661:B666"/>
    <mergeCell ref="B667:B672"/>
    <mergeCell ref="B631:B636"/>
    <mergeCell ref="B637:B642"/>
    <mergeCell ref="B655:B660"/>
    <mergeCell ref="B679:B684"/>
    <mergeCell ref="B685:B690"/>
    <mergeCell ref="B697:B702"/>
    <mergeCell ref="B709:B714"/>
    <mergeCell ref="B721:B726"/>
    <mergeCell ref="B439:B444"/>
    <mergeCell ref="B445:B450"/>
    <mergeCell ref="B577:B582"/>
    <mergeCell ref="B583:B588"/>
    <mergeCell ref="B517:B522"/>
    <mergeCell ref="B523:B528"/>
    <mergeCell ref="B529:B534"/>
    <mergeCell ref="B535:B540"/>
    <mergeCell ref="B541:B546"/>
    <mergeCell ref="B547:B552"/>
    <mergeCell ref="D871:E871"/>
    <mergeCell ref="B144:B162"/>
    <mergeCell ref="D824:M824"/>
    <mergeCell ref="F825:G825"/>
    <mergeCell ref="H825:I825"/>
    <mergeCell ref="J825:K825"/>
    <mergeCell ref="L825:M825"/>
    <mergeCell ref="B763:B768"/>
    <mergeCell ref="B793:B798"/>
    <mergeCell ref="B799:B804"/>
    <mergeCell ref="B367:B372"/>
    <mergeCell ref="B373:B378"/>
    <mergeCell ref="B379:B384"/>
    <mergeCell ref="B385:B390"/>
    <mergeCell ref="B391:B396"/>
    <mergeCell ref="B457:B462"/>
    <mergeCell ref="B727:B732"/>
    <mergeCell ref="B403:B408"/>
    <mergeCell ref="B415:B420"/>
    <mergeCell ref="B421:B426"/>
    <mergeCell ref="B427:B432"/>
    <mergeCell ref="B433:B438"/>
    <mergeCell ref="B409:B414"/>
    <mergeCell ref="B397:B402"/>
    <mergeCell ref="B601:B606"/>
    <mergeCell ref="B607:B612"/>
    <mergeCell ref="B613:B618"/>
    <mergeCell ref="B619:B624"/>
    <mergeCell ref="N825:O825"/>
    <mergeCell ref="D826:D827"/>
    <mergeCell ref="E826:E827"/>
    <mergeCell ref="F826:G826"/>
    <mergeCell ref="H826:I826"/>
    <mergeCell ref="J826:K826"/>
    <mergeCell ref="L826:M826"/>
    <mergeCell ref="N826:O826"/>
    <mergeCell ref="D808:M808"/>
    <mergeCell ref="F809:G809"/>
    <mergeCell ref="H809:I809"/>
    <mergeCell ref="J809:K809"/>
    <mergeCell ref="L809:M809"/>
    <mergeCell ref="N809:O809"/>
    <mergeCell ref="B751:B756"/>
    <mergeCell ref="B745:B750"/>
    <mergeCell ref="B625:B630"/>
    <mergeCell ref="B733:B738"/>
    <mergeCell ref="B673:B678"/>
    <mergeCell ref="B691:B696"/>
  </mergeCells>
  <pageMargins left="0.31496062992125984" right="0.31496062992125984" top="0.59055118110236227" bottom="0.59055118110236227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34"/>
  <sheetViews>
    <sheetView view="pageBreakPreview" topLeftCell="A96" zoomScale="85" zoomScaleNormal="100" zoomScaleSheetLayoutView="85" workbookViewId="0">
      <selection activeCell="Z130" sqref="Z130"/>
    </sheetView>
  </sheetViews>
  <sheetFormatPr defaultRowHeight="15" x14ac:dyDescent="0.25"/>
  <cols>
    <col min="1" max="1" width="4.28515625" customWidth="1"/>
    <col min="2" max="2" width="13.28515625" customWidth="1"/>
    <col min="3" max="3" width="10.140625" customWidth="1"/>
    <col min="4" max="4" width="6.7109375" customWidth="1"/>
    <col min="5" max="5" width="5.42578125" customWidth="1"/>
    <col min="6" max="6" width="5.7109375" customWidth="1"/>
    <col min="7" max="7" width="4.85546875" customWidth="1"/>
    <col min="8" max="8" width="4.28515625" customWidth="1"/>
    <col min="9" max="9" width="3.28515625" customWidth="1"/>
    <col min="10" max="10" width="7.140625" customWidth="1"/>
    <col min="11" max="11" width="6.28515625" customWidth="1"/>
    <col min="12" max="12" width="5.28515625" customWidth="1"/>
    <col min="13" max="14" width="3.7109375" customWidth="1"/>
    <col min="15" max="15" width="8.28515625" customWidth="1"/>
    <col min="16" max="16" width="7.28515625" customWidth="1"/>
    <col min="17" max="17" width="14.7109375" customWidth="1"/>
    <col min="18" max="18" width="5.140625" customWidth="1"/>
    <col min="19" max="19" width="7" customWidth="1"/>
    <col min="20" max="20" width="9" customWidth="1"/>
    <col min="21" max="21" width="8.85546875" customWidth="1"/>
    <col min="22" max="22" width="10.7109375" customWidth="1"/>
    <col min="23" max="23" width="13.85546875" customWidth="1"/>
  </cols>
  <sheetData>
    <row r="1" spans="1:24" s="195" customFormat="1" ht="18.75" x14ac:dyDescent="0.3">
      <c r="A1" s="973" t="s">
        <v>795</v>
      </c>
      <c r="B1" s="973"/>
      <c r="C1" s="973"/>
      <c r="D1" s="973"/>
      <c r="E1" s="973"/>
      <c r="F1" s="973"/>
      <c r="G1" s="973"/>
      <c r="H1" s="973"/>
      <c r="I1" s="973"/>
      <c r="J1" s="973"/>
      <c r="K1" s="973"/>
      <c r="L1" s="973"/>
      <c r="M1" s="973"/>
      <c r="N1" s="973"/>
      <c r="O1" s="973"/>
      <c r="P1" s="973"/>
      <c r="Q1" s="973"/>
      <c r="R1" s="973"/>
      <c r="S1" s="973"/>
      <c r="T1" s="973"/>
      <c r="U1" s="973"/>
      <c r="V1" s="973"/>
      <c r="W1" s="973"/>
      <c r="X1" s="973"/>
    </row>
    <row r="2" spans="1:24" s="193" customFormat="1" ht="9" customHeight="1" x14ac:dyDescent="0.25"/>
    <row r="3" spans="1:24" s="187" customFormat="1" ht="15.75" x14ac:dyDescent="0.25">
      <c r="A3" s="1037" t="s">
        <v>796</v>
      </c>
      <c r="B3" s="1037"/>
      <c r="C3" s="1037"/>
      <c r="D3" s="1037"/>
      <c r="E3" s="1037"/>
      <c r="F3" s="1037"/>
      <c r="G3" s="1037"/>
      <c r="H3" s="1037"/>
      <c r="I3" s="1037"/>
      <c r="J3" s="1037"/>
      <c r="K3" s="1037"/>
      <c r="L3" s="1037"/>
      <c r="M3" s="1037"/>
      <c r="N3" s="1037"/>
      <c r="O3" s="1037"/>
    </row>
    <row r="4" spans="1:24" s="187" customFormat="1" ht="21" customHeight="1" x14ac:dyDescent="0.25">
      <c r="A4" s="1038" t="s">
        <v>797</v>
      </c>
      <c r="B4" s="1038"/>
      <c r="C4" s="1038"/>
      <c r="D4" s="1038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</row>
    <row r="5" spans="1:24" s="187" customFormat="1" ht="30.75" customHeight="1" x14ac:dyDescent="0.25">
      <c r="A5" s="1038" t="s">
        <v>798</v>
      </c>
      <c r="B5" s="1038"/>
      <c r="C5" s="1038"/>
      <c r="D5" s="1038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268"/>
      <c r="W5" s="268"/>
      <c r="X5" s="268"/>
    </row>
    <row r="6" spans="1:24" s="187" customFormat="1" ht="37.5" customHeight="1" x14ac:dyDescent="0.25">
      <c r="A6" s="1038" t="s">
        <v>799</v>
      </c>
      <c r="B6" s="1038"/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038"/>
      <c r="N6" s="1038"/>
      <c r="O6" s="1038"/>
      <c r="P6" s="1038"/>
      <c r="Q6" s="1038"/>
      <c r="R6" s="1038"/>
      <c r="S6" s="1038"/>
      <c r="T6" s="1038"/>
      <c r="U6" s="1038"/>
      <c r="V6" s="268"/>
      <c r="W6" s="268"/>
      <c r="X6" s="268"/>
    </row>
    <row r="7" spans="1:24" s="182" customFormat="1" ht="12" customHeight="1" x14ac:dyDescent="0.25">
      <c r="A7" s="189"/>
    </row>
    <row r="8" spans="1:24" s="195" customFormat="1" ht="18.75" x14ac:dyDescent="0.3">
      <c r="A8" s="973" t="s">
        <v>791</v>
      </c>
      <c r="B8" s="973"/>
      <c r="C8" s="973"/>
      <c r="D8" s="973"/>
      <c r="E8" s="973"/>
      <c r="F8" s="973"/>
      <c r="G8" s="973"/>
      <c r="H8" s="973"/>
      <c r="I8" s="973"/>
      <c r="J8" s="973"/>
      <c r="K8" s="973"/>
      <c r="L8" s="973"/>
      <c r="M8" s="973"/>
      <c r="N8" s="973"/>
      <c r="O8" s="973"/>
      <c r="P8" s="973"/>
      <c r="Q8" s="973"/>
      <c r="R8" s="973"/>
      <c r="S8" s="973"/>
      <c r="T8" s="973"/>
      <c r="U8" s="973"/>
      <c r="V8" s="205"/>
      <c r="W8" s="205"/>
    </row>
    <row r="9" spans="1:24" s="196" customFormat="1" ht="12.75" customHeight="1" x14ac:dyDescent="0.3"/>
    <row r="10" spans="1:24" s="196" customFormat="1" ht="18.75" x14ac:dyDescent="0.3">
      <c r="A10" s="1039" t="s">
        <v>800</v>
      </c>
      <c r="B10" s="1039"/>
      <c r="C10" s="1039"/>
      <c r="D10" s="1039"/>
      <c r="E10" s="1039"/>
      <c r="F10" s="1039"/>
      <c r="G10" s="1039"/>
      <c r="H10" s="1039"/>
      <c r="I10" s="1039"/>
      <c r="J10" s="1039"/>
      <c r="K10" s="1039"/>
      <c r="L10" s="1039"/>
      <c r="M10" s="1039"/>
      <c r="N10" s="1039"/>
      <c r="O10" s="1039"/>
      <c r="P10" s="1039"/>
      <c r="Q10" s="1039"/>
      <c r="R10" s="1039"/>
      <c r="S10" s="1039"/>
      <c r="T10" s="1039"/>
    </row>
    <row r="11" spans="1:24" s="193" customFormat="1" x14ac:dyDescent="0.25"/>
    <row r="12" spans="1:24" s="193" customFormat="1" ht="18.75" x14ac:dyDescent="0.3">
      <c r="A12" s="973" t="s">
        <v>806</v>
      </c>
      <c r="B12" s="973"/>
      <c r="C12" s="973"/>
      <c r="D12" s="973"/>
      <c r="E12" s="973"/>
      <c r="F12" s="973"/>
      <c r="G12" s="973"/>
      <c r="H12" s="973"/>
      <c r="I12" s="973"/>
      <c r="J12" s="973"/>
      <c r="K12" s="973"/>
      <c r="L12" s="973"/>
      <c r="M12" s="973"/>
      <c r="N12" s="973"/>
      <c r="O12" s="973"/>
      <c r="P12" s="973"/>
      <c r="Q12" s="973"/>
      <c r="R12" s="973"/>
      <c r="S12" s="973"/>
      <c r="T12" s="973"/>
      <c r="U12" s="973"/>
      <c r="V12" s="205"/>
      <c r="W12" s="205"/>
    </row>
    <row r="13" spans="1:24" s="193" customFormat="1" ht="7.5" customHeight="1" x14ac:dyDescent="0.25"/>
    <row r="14" spans="1:24" s="193" customFormat="1" ht="15.75" x14ac:dyDescent="0.25">
      <c r="A14" s="1038" t="s">
        <v>801</v>
      </c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</row>
    <row r="15" spans="1:24" s="194" customFormat="1" ht="16.5" customHeight="1" x14ac:dyDescent="0.25">
      <c r="A15" s="1038" t="s">
        <v>802</v>
      </c>
      <c r="B15" s="1038"/>
      <c r="C15" s="1038"/>
      <c r="D15" s="1038"/>
      <c r="E15" s="1038"/>
      <c r="F15" s="1038"/>
      <c r="G15" s="1038"/>
      <c r="H15" s="1038"/>
      <c r="I15" s="1038"/>
      <c r="J15" s="1038"/>
      <c r="K15" s="1038"/>
      <c r="L15" s="1038"/>
      <c r="M15" s="1038"/>
      <c r="N15" s="1038"/>
      <c r="O15" s="1038"/>
    </row>
    <row r="16" spans="1:24" s="193" customFormat="1" ht="16.5" customHeight="1" x14ac:dyDescent="0.25">
      <c r="A16" s="1040" t="s">
        <v>803</v>
      </c>
      <c r="B16" s="1040"/>
      <c r="C16" s="1040"/>
      <c r="D16" s="1040"/>
      <c r="E16" s="1040"/>
      <c r="F16" s="1040"/>
      <c r="G16" s="1040"/>
      <c r="H16" s="1040"/>
      <c r="I16" s="1040"/>
      <c r="J16" s="1040"/>
      <c r="K16" s="1040"/>
      <c r="L16" s="1040"/>
      <c r="M16" s="1040"/>
      <c r="N16" s="1040"/>
      <c r="O16" s="1040"/>
      <c r="P16" s="1040"/>
      <c r="Q16" s="1040"/>
      <c r="R16" s="1040"/>
      <c r="S16" s="1040"/>
    </row>
    <row r="17" spans="1:23" s="193" customFormat="1" x14ac:dyDescent="0.25">
      <c r="A17" s="1040" t="s">
        <v>804</v>
      </c>
      <c r="B17" s="1040"/>
      <c r="C17" s="1040"/>
      <c r="D17" s="1040"/>
      <c r="E17" s="1040"/>
      <c r="F17" s="1040"/>
      <c r="G17" s="1040"/>
      <c r="H17" s="1040"/>
      <c r="I17" s="1040"/>
      <c r="J17" s="1040"/>
      <c r="K17" s="1040"/>
      <c r="L17" s="1040"/>
      <c r="M17" s="1040"/>
      <c r="N17" s="1040"/>
      <c r="O17" s="1040"/>
      <c r="P17" s="1040"/>
      <c r="Q17" s="1040"/>
      <c r="R17" s="1040"/>
      <c r="S17" s="1040"/>
    </row>
    <row r="18" spans="1:23" s="193" customFormat="1" ht="18" customHeight="1" x14ac:dyDescent="0.25">
      <c r="A18" s="1040" t="s">
        <v>805</v>
      </c>
      <c r="B18" s="1040"/>
      <c r="C18" s="1040"/>
      <c r="D18" s="1040"/>
      <c r="E18" s="1040"/>
      <c r="F18" s="1040"/>
      <c r="G18" s="1040"/>
      <c r="H18" s="1040"/>
      <c r="I18" s="1040"/>
      <c r="J18" s="1040"/>
      <c r="K18" s="1040"/>
      <c r="L18" s="1040"/>
      <c r="M18" s="1040"/>
      <c r="N18" s="1040"/>
      <c r="O18" s="1040"/>
      <c r="P18" s="1040"/>
      <c r="Q18" s="1040"/>
      <c r="R18" s="1040"/>
      <c r="S18" s="1040"/>
    </row>
    <row r="19" spans="1:23" s="193" customFormat="1" ht="11.25" customHeight="1" x14ac:dyDescent="0.25"/>
    <row r="20" spans="1:23" s="195" customFormat="1" ht="18.75" x14ac:dyDescent="0.3">
      <c r="A20" s="973" t="s">
        <v>792</v>
      </c>
      <c r="B20" s="973"/>
      <c r="C20" s="973"/>
      <c r="D20" s="973"/>
      <c r="E20" s="973"/>
      <c r="F20" s="973"/>
      <c r="G20" s="973"/>
      <c r="H20" s="973"/>
      <c r="I20" s="973"/>
      <c r="J20" s="973"/>
      <c r="K20" s="973"/>
      <c r="L20" s="973"/>
      <c r="M20" s="973"/>
      <c r="N20" s="973"/>
      <c r="O20" s="973"/>
      <c r="P20" s="973"/>
      <c r="Q20" s="973"/>
      <c r="R20" s="973"/>
      <c r="S20" s="973"/>
      <c r="T20" s="973"/>
      <c r="U20" s="973"/>
      <c r="V20" s="205"/>
      <c r="W20" s="205"/>
    </row>
    <row r="21" spans="1:23" s="196" customFormat="1" ht="12.75" customHeight="1" x14ac:dyDescent="0.3"/>
    <row r="22" spans="1:23" s="196" customFormat="1" ht="36" customHeight="1" x14ac:dyDescent="0.3">
      <c r="A22" s="1041" t="s">
        <v>807</v>
      </c>
      <c r="B22" s="1041"/>
      <c r="C22" s="1041"/>
      <c r="D22" s="1041"/>
      <c r="E22" s="1041"/>
      <c r="F22" s="1041"/>
      <c r="G22" s="1041"/>
      <c r="H22" s="1041"/>
      <c r="I22" s="1041"/>
      <c r="J22" s="1041"/>
      <c r="K22" s="1041"/>
      <c r="L22" s="1041"/>
      <c r="M22" s="1041"/>
      <c r="N22" s="1041"/>
      <c r="O22" s="1041"/>
      <c r="P22" s="1041"/>
      <c r="Q22" s="1041"/>
      <c r="R22" s="1041"/>
      <c r="S22" s="1041"/>
      <c r="T22" s="1041"/>
    </row>
    <row r="23" spans="1:23" s="193" customFormat="1" ht="9.75" customHeight="1" x14ac:dyDescent="0.25"/>
    <row r="24" spans="1:23" s="193" customFormat="1" ht="18.75" x14ac:dyDescent="0.3">
      <c r="A24" s="973" t="s">
        <v>829</v>
      </c>
      <c r="B24" s="973"/>
      <c r="C24" s="973"/>
      <c r="D24" s="973"/>
      <c r="E24" s="973"/>
      <c r="F24" s="973"/>
      <c r="G24" s="973"/>
      <c r="H24" s="973"/>
      <c r="I24" s="973"/>
      <c r="J24" s="973"/>
      <c r="K24" s="973"/>
      <c r="L24" s="973"/>
      <c r="M24" s="973"/>
      <c r="N24" s="973"/>
      <c r="O24" s="973"/>
      <c r="P24" s="973"/>
      <c r="Q24" s="973"/>
      <c r="R24" s="973"/>
      <c r="S24" s="973"/>
      <c r="T24" s="973"/>
      <c r="U24" s="973"/>
      <c r="V24" s="205"/>
      <c r="W24" s="205"/>
    </row>
    <row r="25" spans="1:23" s="193" customFormat="1" ht="10.5" customHeight="1" x14ac:dyDescent="0.25"/>
    <row r="26" spans="1:23" s="193" customFormat="1" ht="15.75" x14ac:dyDescent="0.25">
      <c r="A26" s="1038" t="s">
        <v>801</v>
      </c>
      <c r="B26" s="1038"/>
      <c r="C26" s="1038"/>
      <c r="D26" s="1038"/>
      <c r="E26" s="1038"/>
      <c r="F26" s="1038"/>
      <c r="G26" s="1038"/>
      <c r="H26" s="1038"/>
      <c r="I26" s="1038"/>
      <c r="J26" s="1038"/>
      <c r="K26" s="1038"/>
      <c r="L26" s="1038"/>
      <c r="M26" s="1038"/>
      <c r="N26" s="1038"/>
      <c r="O26" s="1038"/>
    </row>
    <row r="27" spans="1:23" s="194" customFormat="1" ht="16.5" customHeight="1" x14ac:dyDescent="0.25">
      <c r="A27" s="1038" t="s">
        <v>814</v>
      </c>
      <c r="B27" s="1038"/>
      <c r="C27" s="1038"/>
      <c r="D27" s="1038"/>
      <c r="E27" s="1038"/>
      <c r="F27" s="1038"/>
      <c r="G27" s="1038"/>
      <c r="H27" s="1038"/>
      <c r="I27" s="1038"/>
      <c r="J27" s="1038"/>
      <c r="K27" s="1038"/>
      <c r="L27" s="1038"/>
      <c r="M27" s="1038"/>
      <c r="N27" s="1038"/>
      <c r="O27" s="1038"/>
    </row>
    <row r="28" spans="1:23" s="193" customFormat="1" ht="16.5" customHeight="1" x14ac:dyDescent="0.25">
      <c r="A28" s="1040" t="s">
        <v>813</v>
      </c>
      <c r="B28" s="1040"/>
      <c r="C28" s="1040"/>
      <c r="D28" s="1040"/>
      <c r="E28" s="1040"/>
      <c r="F28" s="1040"/>
      <c r="G28" s="1040"/>
      <c r="H28" s="1040"/>
      <c r="I28" s="1040"/>
      <c r="J28" s="1040"/>
      <c r="K28" s="1040"/>
      <c r="L28" s="1040"/>
      <c r="M28" s="1040"/>
      <c r="N28" s="1040"/>
      <c r="O28" s="1040"/>
      <c r="P28" s="1040"/>
      <c r="Q28" s="1040"/>
      <c r="R28" s="1040"/>
      <c r="S28" s="1040"/>
    </row>
    <row r="29" spans="1:23" s="193" customFormat="1" x14ac:dyDescent="0.25">
      <c r="A29" s="1040" t="s">
        <v>808</v>
      </c>
      <c r="B29" s="1040"/>
      <c r="C29" s="1040"/>
      <c r="D29" s="1040"/>
      <c r="E29" s="1040"/>
      <c r="F29" s="1040"/>
      <c r="G29" s="1040"/>
      <c r="H29" s="1040"/>
      <c r="I29" s="1040"/>
      <c r="J29" s="1040"/>
      <c r="K29" s="1040"/>
      <c r="L29" s="1040"/>
      <c r="M29" s="1040"/>
      <c r="N29" s="1040"/>
      <c r="O29" s="1040"/>
      <c r="P29" s="1040"/>
      <c r="Q29" s="1040"/>
      <c r="R29" s="1040"/>
      <c r="S29" s="1040"/>
    </row>
    <row r="30" spans="1:23" s="194" customFormat="1" ht="16.5" customHeight="1" x14ac:dyDescent="0.25">
      <c r="A30" s="1038" t="s">
        <v>823</v>
      </c>
      <c r="B30" s="1038"/>
      <c r="C30" s="1038"/>
      <c r="D30" s="1038"/>
      <c r="E30" s="1038"/>
      <c r="F30" s="1038"/>
      <c r="G30" s="1038"/>
      <c r="H30" s="1038"/>
      <c r="I30" s="1038"/>
      <c r="J30" s="1038"/>
      <c r="K30" s="1038"/>
      <c r="L30" s="1038"/>
      <c r="M30" s="1038"/>
      <c r="N30" s="1038"/>
      <c r="O30" s="1038"/>
    </row>
    <row r="31" spans="1:23" s="193" customFormat="1" ht="9.75" customHeight="1" x14ac:dyDescent="0.25"/>
    <row r="32" spans="1:23" s="195" customFormat="1" ht="18.75" x14ac:dyDescent="0.3">
      <c r="A32" s="973" t="s">
        <v>793</v>
      </c>
      <c r="B32" s="973"/>
      <c r="C32" s="973"/>
      <c r="D32" s="973"/>
      <c r="E32" s="973"/>
      <c r="F32" s="973"/>
      <c r="G32" s="973"/>
      <c r="H32" s="973"/>
      <c r="I32" s="973"/>
      <c r="J32" s="973"/>
      <c r="K32" s="973"/>
      <c r="L32" s="973"/>
      <c r="M32" s="973"/>
      <c r="N32" s="973"/>
      <c r="O32" s="973"/>
      <c r="P32" s="973"/>
      <c r="Q32" s="973"/>
      <c r="R32" s="973"/>
      <c r="S32" s="973"/>
      <c r="T32" s="973"/>
      <c r="U32" s="973"/>
      <c r="V32" s="205"/>
      <c r="W32" s="205"/>
    </row>
    <row r="33" spans="1:23" s="196" customFormat="1" ht="12" customHeight="1" x14ac:dyDescent="0.3"/>
    <row r="34" spans="1:23" s="196" customFormat="1" ht="36" customHeight="1" x14ac:dyDescent="0.3">
      <c r="A34" s="1041" t="s">
        <v>809</v>
      </c>
      <c r="B34" s="1041"/>
      <c r="C34" s="1041"/>
      <c r="D34" s="1041"/>
      <c r="E34" s="1041"/>
      <c r="F34" s="1041"/>
      <c r="G34" s="1041"/>
      <c r="H34" s="1041"/>
      <c r="I34" s="1041"/>
      <c r="J34" s="1041"/>
      <c r="K34" s="1041"/>
      <c r="L34" s="1041"/>
      <c r="M34" s="1041"/>
      <c r="N34" s="1041"/>
      <c r="O34" s="1041"/>
      <c r="P34" s="1041"/>
      <c r="Q34" s="1041"/>
      <c r="R34" s="1041"/>
      <c r="S34" s="1041"/>
      <c r="T34" s="1041"/>
    </row>
    <row r="35" spans="1:23" s="193" customFormat="1" ht="9.75" customHeight="1" x14ac:dyDescent="0.25"/>
    <row r="36" spans="1:23" s="193" customFormat="1" ht="18.75" x14ac:dyDescent="0.3">
      <c r="A36" s="973" t="s">
        <v>810</v>
      </c>
      <c r="B36" s="973"/>
      <c r="C36" s="973"/>
      <c r="D36" s="973"/>
      <c r="E36" s="973"/>
      <c r="F36" s="973"/>
      <c r="G36" s="973"/>
      <c r="H36" s="973"/>
      <c r="I36" s="973"/>
      <c r="J36" s="973"/>
      <c r="K36" s="973"/>
      <c r="L36" s="973"/>
      <c r="M36" s="973"/>
      <c r="N36" s="973"/>
      <c r="O36" s="973"/>
      <c r="P36" s="973"/>
      <c r="Q36" s="973"/>
      <c r="R36" s="973"/>
      <c r="S36" s="973"/>
      <c r="T36" s="973"/>
      <c r="U36" s="973"/>
      <c r="V36" s="205"/>
      <c r="W36" s="205"/>
    </row>
    <row r="37" spans="1:23" s="193" customFormat="1" ht="26.25" customHeight="1" x14ac:dyDescent="0.25">
      <c r="A37" s="1042" t="s">
        <v>817</v>
      </c>
      <c r="B37" s="1042"/>
      <c r="C37" s="1042"/>
      <c r="D37" s="1042"/>
      <c r="E37" s="1042"/>
      <c r="F37" s="1042"/>
      <c r="G37" s="1042"/>
      <c r="H37" s="1042"/>
      <c r="I37" s="1042"/>
      <c r="J37" s="1042"/>
      <c r="K37" s="1042"/>
      <c r="L37" s="1042"/>
      <c r="M37" s="1042"/>
      <c r="N37" s="1042"/>
      <c r="O37" s="1042"/>
      <c r="P37" s="1042"/>
      <c r="Q37" s="1042"/>
      <c r="R37" s="1042"/>
      <c r="S37" s="1042"/>
      <c r="T37" s="1042"/>
      <c r="U37" s="1042"/>
      <c r="V37" s="181"/>
      <c r="W37" s="181"/>
    </row>
    <row r="38" spans="1:23" s="193" customFormat="1" ht="15.75" x14ac:dyDescent="0.25">
      <c r="A38" s="1038" t="s">
        <v>801</v>
      </c>
      <c r="B38" s="1038"/>
      <c r="C38" s="1038"/>
      <c r="D38" s="1038"/>
      <c r="E38" s="1038"/>
      <c r="F38" s="1038"/>
      <c r="G38" s="1038"/>
      <c r="H38" s="1038"/>
      <c r="I38" s="1038"/>
      <c r="J38" s="1038"/>
      <c r="K38" s="1038"/>
      <c r="L38" s="1038"/>
      <c r="M38" s="1038"/>
      <c r="N38" s="1038"/>
      <c r="O38" s="1038"/>
    </row>
    <row r="39" spans="1:23" s="194" customFormat="1" ht="16.5" customHeight="1" x14ac:dyDescent="0.25">
      <c r="A39" s="1038" t="s">
        <v>811</v>
      </c>
      <c r="B39" s="1038"/>
      <c r="C39" s="1038"/>
      <c r="D39" s="1038"/>
      <c r="E39" s="1038"/>
      <c r="F39" s="1038"/>
      <c r="G39" s="1038"/>
      <c r="H39" s="1038"/>
      <c r="I39" s="1038"/>
      <c r="J39" s="1038"/>
      <c r="K39" s="1038"/>
      <c r="L39" s="1038"/>
      <c r="M39" s="1038"/>
      <c r="N39" s="1038"/>
      <c r="O39" s="1038"/>
    </row>
    <row r="40" spans="1:23" s="193" customFormat="1" ht="16.5" customHeight="1" x14ac:dyDescent="0.25">
      <c r="A40" s="1040" t="s">
        <v>812</v>
      </c>
      <c r="B40" s="1040"/>
      <c r="C40" s="1040"/>
      <c r="D40" s="1040"/>
      <c r="E40" s="1040"/>
      <c r="F40" s="1040"/>
      <c r="G40" s="1040"/>
      <c r="H40" s="1040"/>
      <c r="I40" s="1040"/>
      <c r="J40" s="1040"/>
      <c r="K40" s="1040"/>
      <c r="L40" s="1040"/>
      <c r="M40" s="1040"/>
      <c r="N40" s="1040"/>
      <c r="O40" s="1040"/>
      <c r="P40" s="1040"/>
      <c r="Q40" s="1040"/>
      <c r="R40" s="1040"/>
      <c r="S40" s="1040"/>
    </row>
    <row r="41" spans="1:23" s="193" customFormat="1" ht="30" customHeight="1" x14ac:dyDescent="0.25">
      <c r="A41" s="1040" t="s">
        <v>815</v>
      </c>
      <c r="B41" s="1040"/>
      <c r="C41" s="1040"/>
      <c r="D41" s="1040"/>
      <c r="E41" s="1040"/>
      <c r="F41" s="1040"/>
      <c r="G41" s="1040"/>
      <c r="H41" s="1040"/>
      <c r="I41" s="1040"/>
      <c r="J41" s="1040"/>
      <c r="K41" s="1040"/>
      <c r="L41" s="1040"/>
      <c r="M41" s="1040"/>
      <c r="N41" s="1040"/>
      <c r="O41" s="1040"/>
      <c r="P41" s="1040"/>
      <c r="Q41" s="1040"/>
      <c r="R41" s="1040"/>
      <c r="S41" s="1040"/>
      <c r="T41" s="1040"/>
      <c r="U41" s="1040"/>
      <c r="V41" s="283"/>
      <c r="W41" s="283"/>
    </row>
    <row r="42" spans="1:23" s="194" customFormat="1" ht="16.5" customHeight="1" x14ac:dyDescent="0.25">
      <c r="A42" s="1038" t="s">
        <v>802</v>
      </c>
      <c r="B42" s="1038"/>
      <c r="C42" s="1038"/>
      <c r="D42" s="1038"/>
      <c r="E42" s="1038"/>
      <c r="F42" s="1038"/>
      <c r="G42" s="1038"/>
      <c r="H42" s="1038"/>
      <c r="I42" s="1038"/>
      <c r="J42" s="1038"/>
      <c r="K42" s="1038"/>
      <c r="L42" s="1038"/>
      <c r="M42" s="1038"/>
      <c r="N42" s="1038"/>
      <c r="O42" s="1038"/>
    </row>
    <row r="43" spans="1:23" s="193" customFormat="1" ht="18" customHeight="1" x14ac:dyDescent="0.25">
      <c r="A43" s="1040" t="s">
        <v>816</v>
      </c>
      <c r="B43" s="1040"/>
      <c r="C43" s="1040"/>
      <c r="D43" s="1040"/>
      <c r="E43" s="1040"/>
      <c r="F43" s="1040"/>
      <c r="G43" s="1040"/>
      <c r="H43" s="1040"/>
      <c r="I43" s="1040"/>
      <c r="J43" s="1040"/>
      <c r="K43" s="1040"/>
      <c r="L43" s="1040"/>
      <c r="M43" s="1040"/>
      <c r="N43" s="1040"/>
      <c r="O43" s="1040"/>
      <c r="P43" s="1040"/>
      <c r="Q43" s="1040"/>
      <c r="R43" s="1040"/>
      <c r="S43" s="1040"/>
    </row>
    <row r="44" spans="1:23" s="193" customFormat="1" x14ac:dyDescent="0.25"/>
    <row r="45" spans="1:23" s="195" customFormat="1" ht="18.75" x14ac:dyDescent="0.3">
      <c r="A45" s="973" t="s">
        <v>794</v>
      </c>
      <c r="B45" s="973"/>
      <c r="C45" s="973"/>
      <c r="D45" s="973"/>
      <c r="E45" s="973"/>
      <c r="F45" s="973"/>
      <c r="G45" s="973"/>
      <c r="H45" s="973"/>
      <c r="I45" s="973"/>
      <c r="J45" s="973"/>
      <c r="K45" s="973"/>
      <c r="L45" s="973"/>
      <c r="M45" s="973"/>
      <c r="N45" s="973"/>
      <c r="O45" s="973"/>
      <c r="P45" s="973"/>
      <c r="Q45" s="973"/>
      <c r="R45" s="973"/>
      <c r="S45" s="973"/>
      <c r="T45" s="973"/>
      <c r="U45" s="973"/>
      <c r="V45" s="205"/>
      <c r="W45" s="205"/>
    </row>
    <row r="46" spans="1:23" s="196" customFormat="1" ht="12" customHeight="1" x14ac:dyDescent="0.3"/>
    <row r="47" spans="1:23" s="196" customFormat="1" ht="20.25" customHeight="1" x14ac:dyDescent="0.3">
      <c r="A47" s="1041" t="s">
        <v>818</v>
      </c>
      <c r="B47" s="1041"/>
      <c r="C47" s="1041"/>
      <c r="D47" s="1041"/>
      <c r="E47" s="1041"/>
      <c r="F47" s="1041"/>
      <c r="G47" s="1041"/>
      <c r="H47" s="1041"/>
      <c r="I47" s="1041"/>
      <c r="J47" s="1041"/>
      <c r="K47" s="1041"/>
      <c r="L47" s="1041"/>
      <c r="M47" s="1041"/>
      <c r="N47" s="1041"/>
      <c r="O47" s="1041"/>
      <c r="P47" s="1041"/>
      <c r="Q47" s="1041"/>
      <c r="R47" s="1041"/>
      <c r="S47" s="1041"/>
      <c r="T47" s="1041"/>
      <c r="U47" s="1041"/>
      <c r="V47" s="204"/>
      <c r="W47" s="204"/>
    </row>
    <row r="48" spans="1:23" s="193" customFormat="1" ht="18.75" customHeight="1" x14ac:dyDescent="0.25"/>
    <row r="49" spans="1:24" s="193" customFormat="1" ht="18.75" x14ac:dyDescent="0.3">
      <c r="A49" s="973" t="s">
        <v>819</v>
      </c>
      <c r="B49" s="973"/>
      <c r="C49" s="973"/>
      <c r="D49" s="973"/>
      <c r="E49" s="973"/>
      <c r="F49" s="973"/>
      <c r="G49" s="973"/>
      <c r="H49" s="973"/>
      <c r="I49" s="973"/>
      <c r="J49" s="973"/>
      <c r="K49" s="973"/>
      <c r="L49" s="973"/>
      <c r="M49" s="973"/>
      <c r="N49" s="973"/>
      <c r="O49" s="973"/>
      <c r="P49" s="973"/>
      <c r="Q49" s="973"/>
      <c r="R49" s="973"/>
      <c r="S49" s="973"/>
      <c r="T49" s="973"/>
      <c r="U49" s="973"/>
      <c r="V49" s="205"/>
      <c r="W49" s="205"/>
    </row>
    <row r="50" spans="1:24" s="193" customFormat="1" ht="18.75" x14ac:dyDescent="0.3">
      <c r="A50" s="205"/>
      <c r="B50" s="205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</row>
    <row r="51" spans="1:24" s="193" customFormat="1" ht="26.25" customHeight="1" x14ac:dyDescent="0.25">
      <c r="A51" s="1042" t="s">
        <v>817</v>
      </c>
      <c r="B51" s="1042"/>
      <c r="C51" s="1042"/>
      <c r="D51" s="1042"/>
      <c r="E51" s="1042"/>
      <c r="F51" s="1042"/>
      <c r="G51" s="1042"/>
      <c r="H51" s="1042"/>
      <c r="I51" s="1042"/>
      <c r="J51" s="1042"/>
      <c r="K51" s="1042"/>
      <c r="L51" s="1042"/>
      <c r="M51" s="1042"/>
      <c r="N51" s="1042"/>
      <c r="O51" s="1042"/>
      <c r="P51" s="1042"/>
      <c r="Q51" s="1042"/>
      <c r="R51" s="1042"/>
      <c r="S51" s="1042"/>
      <c r="T51" s="1042"/>
      <c r="U51" s="1042"/>
      <c r="V51" s="181"/>
      <c r="W51" s="181"/>
    </row>
    <row r="52" spans="1:24" s="193" customFormat="1" ht="15.75" x14ac:dyDescent="0.25">
      <c r="A52" s="1038" t="s">
        <v>801</v>
      </c>
      <c r="B52" s="1038"/>
      <c r="C52" s="1038"/>
      <c r="D52" s="1038"/>
      <c r="E52" s="1038"/>
      <c r="F52" s="1038"/>
      <c r="G52" s="1038"/>
      <c r="H52" s="1038"/>
      <c r="I52" s="1038"/>
      <c r="J52" s="1038"/>
      <c r="K52" s="1038"/>
      <c r="L52" s="1038"/>
      <c r="M52" s="1038"/>
      <c r="N52" s="1038"/>
      <c r="O52" s="1038"/>
    </row>
    <row r="53" spans="1:24" s="194" customFormat="1" ht="16.5" customHeight="1" x14ac:dyDescent="0.25">
      <c r="A53" s="1038" t="s">
        <v>820</v>
      </c>
      <c r="B53" s="1038"/>
      <c r="C53" s="1038"/>
      <c r="D53" s="1038"/>
      <c r="E53" s="1038"/>
      <c r="F53" s="1038"/>
      <c r="G53" s="1038"/>
      <c r="H53" s="1038"/>
      <c r="I53" s="1038"/>
      <c r="J53" s="1038"/>
      <c r="K53" s="1038"/>
      <c r="L53" s="1038"/>
      <c r="M53" s="1038"/>
      <c r="N53" s="1038"/>
      <c r="O53" s="1038"/>
    </row>
    <row r="54" spans="1:24" s="193" customFormat="1" ht="16.5" customHeight="1" x14ac:dyDescent="0.25">
      <c r="A54" s="1040" t="s">
        <v>821</v>
      </c>
      <c r="B54" s="1040"/>
      <c r="C54" s="1040"/>
      <c r="D54" s="1040"/>
      <c r="E54" s="1040"/>
      <c r="F54" s="1040"/>
      <c r="G54" s="1040"/>
      <c r="H54" s="1040"/>
      <c r="I54" s="1040"/>
      <c r="J54" s="1040"/>
      <c r="K54" s="1040"/>
      <c r="L54" s="1040"/>
      <c r="M54" s="1040"/>
      <c r="N54" s="1040"/>
      <c r="O54" s="1040"/>
      <c r="P54" s="1040"/>
      <c r="Q54" s="1040"/>
      <c r="R54" s="1040"/>
      <c r="S54" s="1040"/>
    </row>
    <row r="55" spans="1:24" s="193" customFormat="1" ht="12.75" customHeight="1" x14ac:dyDescent="0.25">
      <c r="A55" s="1040" t="s">
        <v>822</v>
      </c>
      <c r="B55" s="1040"/>
      <c r="C55" s="1040"/>
      <c r="D55" s="1040"/>
      <c r="E55" s="1040"/>
      <c r="F55" s="1040"/>
      <c r="G55" s="1040"/>
      <c r="H55" s="1040"/>
      <c r="I55" s="1040"/>
      <c r="J55" s="1040"/>
      <c r="K55" s="1040"/>
      <c r="L55" s="1040"/>
      <c r="M55" s="1040"/>
      <c r="N55" s="1040"/>
      <c r="O55" s="1040"/>
      <c r="P55" s="1040"/>
      <c r="Q55" s="1040"/>
      <c r="R55" s="1040"/>
      <c r="S55" s="1040"/>
      <c r="T55" s="1040"/>
      <c r="U55" s="1040"/>
      <c r="V55" s="1040"/>
      <c r="W55" s="1040"/>
      <c r="X55" s="1040"/>
    </row>
    <row r="56" spans="1:24" s="194" customFormat="1" ht="16.5" customHeight="1" x14ac:dyDescent="0.25">
      <c r="A56" s="1038" t="s">
        <v>823</v>
      </c>
      <c r="B56" s="1038"/>
      <c r="C56" s="1038"/>
      <c r="D56" s="1038"/>
      <c r="E56" s="1038"/>
      <c r="F56" s="1038"/>
      <c r="G56" s="1038"/>
      <c r="H56" s="1038"/>
      <c r="I56" s="1038"/>
      <c r="J56" s="1038"/>
      <c r="K56" s="1038"/>
      <c r="L56" s="1038"/>
      <c r="M56" s="1038"/>
      <c r="N56" s="1038"/>
      <c r="O56" s="1038"/>
    </row>
    <row r="57" spans="1:24" s="193" customFormat="1" x14ac:dyDescent="0.25"/>
    <row r="58" spans="1:24" s="193" customFormat="1" ht="116.25" customHeight="1" x14ac:dyDescent="0.25">
      <c r="A58" s="1043" t="s">
        <v>825</v>
      </c>
      <c r="B58" s="1043"/>
      <c r="C58" s="1043"/>
      <c r="D58" s="1043"/>
      <c r="E58" s="1043"/>
      <c r="F58" s="1043"/>
      <c r="G58" s="1043"/>
      <c r="H58" s="1043"/>
      <c r="I58" s="1043"/>
      <c r="J58" s="1043"/>
      <c r="K58" s="1043"/>
      <c r="L58" s="1043"/>
      <c r="M58" s="1043"/>
      <c r="N58" s="1043"/>
      <c r="O58" s="1043"/>
      <c r="P58" s="1043"/>
      <c r="Q58" s="1043"/>
      <c r="R58" s="1043"/>
      <c r="S58" s="1043"/>
      <c r="T58" s="1043"/>
      <c r="U58" s="1043"/>
      <c r="V58" s="183"/>
      <c r="W58" s="183"/>
    </row>
    <row r="59" spans="1:24" s="193" customFormat="1" ht="22.5" customHeight="1" x14ac:dyDescent="0.3">
      <c r="A59" s="1041" t="s">
        <v>824</v>
      </c>
      <c r="B59" s="1041"/>
      <c r="C59" s="1041"/>
      <c r="D59" s="1041"/>
      <c r="E59" s="1041"/>
      <c r="F59" s="1041"/>
      <c r="G59" s="1041"/>
      <c r="H59" s="1041"/>
      <c r="I59" s="1041"/>
      <c r="J59" s="1041"/>
      <c r="K59" s="1041"/>
      <c r="L59" s="1041"/>
      <c r="M59" s="1041"/>
      <c r="N59" s="1041"/>
      <c r="O59" s="1041"/>
      <c r="P59" s="1041"/>
      <c r="Q59" s="1041"/>
      <c r="R59" s="1041"/>
      <c r="S59" s="1041"/>
      <c r="T59" s="1041"/>
      <c r="U59" s="1041"/>
      <c r="V59" s="204"/>
      <c r="W59" s="204"/>
    </row>
    <row r="60" spans="1:24" s="193" customFormat="1" ht="18.75" x14ac:dyDescent="0.25">
      <c r="A60" s="1042" t="s">
        <v>826</v>
      </c>
      <c r="B60" s="1042"/>
      <c r="C60" s="1042"/>
      <c r="D60" s="1042"/>
      <c r="E60" s="1042"/>
      <c r="F60" s="1042"/>
      <c r="G60" s="1042"/>
      <c r="H60" s="1042"/>
      <c r="I60" s="1042"/>
      <c r="J60" s="1042"/>
      <c r="K60" s="1042"/>
      <c r="L60" s="1042"/>
      <c r="M60" s="1042"/>
      <c r="N60" s="1042"/>
      <c r="O60" s="1042"/>
      <c r="P60" s="1042"/>
      <c r="Q60" s="1042"/>
      <c r="R60" s="1042"/>
      <c r="S60" s="1042"/>
      <c r="T60" s="1042"/>
      <c r="U60" s="1042"/>
      <c r="V60" s="181"/>
      <c r="W60" s="181"/>
    </row>
    <row r="61" spans="1:24" s="193" customFormat="1" ht="6.75" customHeight="1" x14ac:dyDescent="0.25"/>
    <row r="62" spans="1:24" s="193" customFormat="1" ht="23.25" customHeight="1" x14ac:dyDescent="0.3">
      <c r="A62" s="1041" t="s">
        <v>827</v>
      </c>
      <c r="B62" s="1041"/>
      <c r="C62" s="1041"/>
      <c r="D62" s="1041"/>
      <c r="E62" s="1041"/>
      <c r="F62" s="1041"/>
      <c r="G62" s="1041"/>
      <c r="H62" s="1041"/>
      <c r="I62" s="1041"/>
      <c r="J62" s="1041"/>
      <c r="K62" s="1041"/>
      <c r="L62" s="1041"/>
      <c r="M62" s="1041"/>
      <c r="N62" s="1041"/>
      <c r="O62" s="1041"/>
      <c r="P62" s="1041"/>
      <c r="Q62" s="1041"/>
      <c r="R62" s="1041"/>
      <c r="S62" s="1041"/>
      <c r="T62" s="1041"/>
      <c r="U62" s="1041"/>
      <c r="V62" s="204"/>
      <c r="W62" s="204"/>
    </row>
    <row r="63" spans="1:24" s="193" customFormat="1" ht="29.25" customHeight="1" x14ac:dyDescent="0.25">
      <c r="A63" s="1042" t="s">
        <v>828</v>
      </c>
      <c r="B63" s="1042"/>
      <c r="C63" s="1042"/>
      <c r="D63" s="1042"/>
      <c r="E63" s="1042"/>
      <c r="F63" s="1042"/>
      <c r="G63" s="1042"/>
      <c r="H63" s="1042"/>
      <c r="I63" s="1042"/>
      <c r="J63" s="1042"/>
      <c r="K63" s="1042"/>
      <c r="L63" s="1042"/>
      <c r="M63" s="1042"/>
      <c r="N63" s="1042"/>
      <c r="O63" s="1042"/>
      <c r="P63" s="1042"/>
      <c r="Q63" s="1042"/>
      <c r="R63" s="1042"/>
      <c r="S63" s="1042"/>
      <c r="T63" s="1042"/>
      <c r="U63" s="1042"/>
      <c r="V63" s="181"/>
      <c r="W63" s="181"/>
    </row>
    <row r="64" spans="1:24" ht="22.5" customHeight="1" x14ac:dyDescent="0.25"/>
    <row r="65" spans="1:34" s="193" customFormat="1" ht="18.75" customHeight="1" x14ac:dyDescent="0.25">
      <c r="A65" s="1043" t="s">
        <v>830</v>
      </c>
      <c r="B65" s="1043"/>
      <c r="C65" s="1043"/>
      <c r="D65" s="1043"/>
      <c r="E65" s="1043"/>
      <c r="F65" s="1043"/>
      <c r="G65" s="1043"/>
      <c r="H65" s="1043"/>
      <c r="I65" s="1043"/>
      <c r="J65" s="1043"/>
      <c r="K65" s="1043"/>
      <c r="L65" s="1043"/>
      <c r="M65" s="1043"/>
      <c r="N65" s="1043"/>
      <c r="O65" s="1043"/>
      <c r="P65" s="1043"/>
      <c r="Q65" s="1043"/>
      <c r="R65" s="1043"/>
      <c r="S65" s="1043"/>
      <c r="T65" s="1043"/>
      <c r="U65" s="1043"/>
      <c r="V65" s="183"/>
      <c r="W65" s="183"/>
      <c r="X65" s="183"/>
      <c r="Y65" s="183"/>
    </row>
    <row r="66" spans="1:34" ht="20.25" customHeight="1" x14ac:dyDescent="0.25"/>
    <row r="67" spans="1:34" s="192" customFormat="1" ht="18.75" x14ac:dyDescent="0.3">
      <c r="A67" s="192" t="s">
        <v>831</v>
      </c>
    </row>
    <row r="68" spans="1:34" ht="22.5" customHeight="1" x14ac:dyDescent="0.25">
      <c r="A68" s="1029" t="s">
        <v>0</v>
      </c>
      <c r="B68" s="1029" t="s">
        <v>1</v>
      </c>
      <c r="C68" s="1031" t="s">
        <v>2</v>
      </c>
      <c r="D68" s="1032"/>
      <c r="E68" s="1032"/>
      <c r="F68" s="1032"/>
      <c r="G68" s="41"/>
      <c r="H68" s="41"/>
      <c r="I68" s="41"/>
      <c r="J68" s="41"/>
      <c r="K68" s="41"/>
      <c r="L68" s="41"/>
      <c r="M68" s="41"/>
      <c r="N68" s="41"/>
      <c r="O68" s="1031" t="s">
        <v>3</v>
      </c>
      <c r="P68" s="1032"/>
      <c r="Q68" s="41"/>
      <c r="R68" s="41"/>
      <c r="S68" s="1033" t="s">
        <v>4</v>
      </c>
      <c r="T68" s="1035" t="s">
        <v>5</v>
      </c>
      <c r="U68" s="1036"/>
      <c r="V68" s="287"/>
      <c r="W68" s="287"/>
    </row>
    <row r="69" spans="1:34" ht="101.25" customHeight="1" x14ac:dyDescent="0.25">
      <c r="A69" s="1030"/>
      <c r="B69" s="1030"/>
      <c r="C69" s="585" t="s">
        <v>6</v>
      </c>
      <c r="D69" s="585" t="s">
        <v>7</v>
      </c>
      <c r="E69" s="585" t="s">
        <v>8</v>
      </c>
      <c r="F69" s="585" t="s">
        <v>9</v>
      </c>
      <c r="G69" s="844" t="s">
        <v>10</v>
      </c>
      <c r="H69" s="844" t="s">
        <v>11</v>
      </c>
      <c r="I69" s="844" t="s">
        <v>12</v>
      </c>
      <c r="J69" s="844" t="s">
        <v>13</v>
      </c>
      <c r="K69" s="844" t="s">
        <v>14</v>
      </c>
      <c r="L69" s="844" t="s">
        <v>15</v>
      </c>
      <c r="M69" s="844" t="s">
        <v>16</v>
      </c>
      <c r="N69" s="844" t="s">
        <v>17</v>
      </c>
      <c r="O69" s="585" t="s">
        <v>18</v>
      </c>
      <c r="P69" s="585" t="s">
        <v>19</v>
      </c>
      <c r="Q69" s="844" t="s">
        <v>20</v>
      </c>
      <c r="R69" s="844" t="s">
        <v>21</v>
      </c>
      <c r="S69" s="1034"/>
      <c r="T69" s="825" t="s">
        <v>22</v>
      </c>
      <c r="U69" s="825" t="s">
        <v>23</v>
      </c>
      <c r="V69" s="845"/>
      <c r="W69" s="845"/>
    </row>
    <row r="70" spans="1:34" x14ac:dyDescent="0.25">
      <c r="A70" s="586">
        <v>1</v>
      </c>
      <c r="B70" s="586">
        <v>2</v>
      </c>
      <c r="C70" s="846" t="s">
        <v>24</v>
      </c>
      <c r="D70" s="586" t="s">
        <v>25</v>
      </c>
      <c r="E70" s="586" t="s">
        <v>26</v>
      </c>
      <c r="F70" s="586" t="s">
        <v>27</v>
      </c>
      <c r="G70" s="846" t="s">
        <v>28</v>
      </c>
      <c r="H70" s="586" t="s">
        <v>29</v>
      </c>
      <c r="I70" s="586" t="s">
        <v>30</v>
      </c>
      <c r="J70" s="586" t="s">
        <v>31</v>
      </c>
      <c r="K70" s="586" t="s">
        <v>32</v>
      </c>
      <c r="L70" s="586" t="s">
        <v>33</v>
      </c>
      <c r="M70" s="586" t="s">
        <v>34</v>
      </c>
      <c r="N70" s="586" t="s">
        <v>35</v>
      </c>
      <c r="O70" s="586" t="s">
        <v>36</v>
      </c>
      <c r="P70" s="586" t="s">
        <v>37</v>
      </c>
      <c r="Q70" s="586" t="s">
        <v>38</v>
      </c>
      <c r="R70" s="586" t="s">
        <v>39</v>
      </c>
      <c r="S70" s="208" t="s">
        <v>40</v>
      </c>
      <c r="T70" s="208" t="s">
        <v>41</v>
      </c>
      <c r="U70" s="208" t="s">
        <v>42</v>
      </c>
      <c r="V70" s="353"/>
      <c r="W70" s="353"/>
    </row>
    <row r="71" spans="1:34" x14ac:dyDescent="0.25">
      <c r="A71" s="1026" t="s">
        <v>43</v>
      </c>
      <c r="B71" s="1027"/>
      <c r="C71" s="1028"/>
      <c r="D71" s="1028"/>
      <c r="E71" s="1028"/>
      <c r="F71" s="1028"/>
      <c r="G71" s="1028"/>
      <c r="H71" s="1028"/>
      <c r="I71" s="1028"/>
      <c r="J71" s="1028"/>
      <c r="K71" s="1028"/>
      <c r="L71" s="1028"/>
      <c r="M71" s="1028"/>
      <c r="N71" s="1028"/>
      <c r="O71" s="1028"/>
      <c r="P71" s="1028"/>
      <c r="Q71" s="1028"/>
      <c r="R71" s="1028"/>
      <c r="S71" s="1028"/>
      <c r="T71" s="1028"/>
      <c r="U71" s="1028"/>
      <c r="V71" s="285"/>
      <c r="W71" s="285"/>
    </row>
    <row r="72" spans="1:34" ht="15.95" customHeight="1" x14ac:dyDescent="0.25">
      <c r="A72" s="2" t="s">
        <v>44</v>
      </c>
      <c r="B72" s="3" t="s">
        <v>45</v>
      </c>
      <c r="C72" s="4" t="s">
        <v>46</v>
      </c>
      <c r="D72" s="847">
        <v>0.01</v>
      </c>
      <c r="E72" s="847">
        <v>0.05</v>
      </c>
      <c r="F72" s="3">
        <v>42.75</v>
      </c>
      <c r="G72" s="3">
        <v>0.01</v>
      </c>
      <c r="H72" s="3">
        <v>0.02</v>
      </c>
      <c r="I72" s="3" t="s">
        <v>47</v>
      </c>
      <c r="J72" s="3">
        <v>0.1</v>
      </c>
      <c r="K72" s="3">
        <f>ROUND((M72*L72*F72),3)</f>
        <v>13.894</v>
      </c>
      <c r="L72" s="3">
        <v>0.65</v>
      </c>
      <c r="M72" s="3">
        <v>0.5</v>
      </c>
      <c r="N72" s="3">
        <v>0</v>
      </c>
      <c r="O72" s="3">
        <v>131.9</v>
      </c>
      <c r="P72" s="3">
        <v>673.40800000000002</v>
      </c>
      <c r="Q72" s="5" t="s">
        <v>48</v>
      </c>
      <c r="R72" s="3" t="s">
        <v>49</v>
      </c>
      <c r="S72" s="6"/>
      <c r="T72" s="3">
        <f>ROUND((((0.001*O72*F72*J72*(1-0))*0.8)),4)</f>
        <v>0.4511</v>
      </c>
      <c r="U72" s="3">
        <f>ROUND((((0.001*P72*F72*J72*(1-0))*0.8)),4)</f>
        <v>2.3031000000000001</v>
      </c>
      <c r="V72" s="546"/>
      <c r="W72" s="286"/>
    </row>
    <row r="73" spans="1:34" ht="15.95" customHeight="1" x14ac:dyDescent="0.25">
      <c r="A73" s="502"/>
      <c r="B73" s="7" t="s">
        <v>50</v>
      </c>
      <c r="C73" s="8"/>
      <c r="D73" s="7">
        <v>0.01</v>
      </c>
      <c r="E73" s="7">
        <v>0.05</v>
      </c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9" t="s">
        <v>51</v>
      </c>
      <c r="R73" s="10" t="s">
        <v>52</v>
      </c>
      <c r="S73" s="11"/>
      <c r="T73" s="7">
        <f>ROUND(((0.001*O72*F72*J72*(1-0))*0.13),4)</f>
        <v>7.3300000000000004E-2</v>
      </c>
      <c r="U73" s="7">
        <f>ROUND((((0.001*P72*F72*J72*(1-0))*0.13)),4)</f>
        <v>0.37419999999999998</v>
      </c>
      <c r="V73" s="286"/>
      <c r="W73" s="286"/>
      <c r="Y73" t="s">
        <v>1448</v>
      </c>
      <c r="AB73" t="s">
        <v>1449</v>
      </c>
      <c r="AE73" t="s">
        <v>53</v>
      </c>
      <c r="AH73" t="s">
        <v>54</v>
      </c>
    </row>
    <row r="74" spans="1:34" ht="15.95" customHeight="1" x14ac:dyDescent="0.25">
      <c r="A74" s="503"/>
      <c r="B74" s="11" t="s">
        <v>55</v>
      </c>
      <c r="C74" s="8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7"/>
      <c r="P74" s="11"/>
      <c r="Q74" s="9" t="s">
        <v>56</v>
      </c>
      <c r="R74" s="7" t="s">
        <v>57</v>
      </c>
      <c r="S74" s="11"/>
      <c r="T74" s="7">
        <f>ROUND((0.02*O72*E72*(1-H72)*(1-I72)),4)</f>
        <v>0.1293</v>
      </c>
      <c r="U74" s="7">
        <f>ROUND((0.02*P72*E73*(1-H72)*(1-I72)),4)</f>
        <v>0.65990000000000004</v>
      </c>
      <c r="V74" s="286"/>
      <c r="W74" s="286"/>
      <c r="Y74" t="s">
        <v>58</v>
      </c>
      <c r="AB74" t="s">
        <v>59</v>
      </c>
      <c r="AD74" t="s">
        <v>60</v>
      </c>
    </row>
    <row r="75" spans="1:34" ht="15.95" customHeight="1" x14ac:dyDescent="0.25">
      <c r="A75" s="503"/>
      <c r="B75" s="11"/>
      <c r="C75" s="8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7"/>
      <c r="P75" s="11"/>
      <c r="Q75" s="9" t="s">
        <v>61</v>
      </c>
      <c r="R75" s="7" t="s">
        <v>62</v>
      </c>
      <c r="S75" s="11"/>
      <c r="T75" s="7">
        <f>ROUND((O72*D72*G72*(1-S75)),4)</f>
        <v>1.32E-2</v>
      </c>
      <c r="U75" s="7">
        <f>ROUND((P72*D72*G72*(1-S75)),4)</f>
        <v>6.7299999999999999E-2</v>
      </c>
      <c r="V75" s="286"/>
      <c r="W75" s="286"/>
      <c r="Y75" t="s">
        <v>63</v>
      </c>
      <c r="Z75" t="s">
        <v>64</v>
      </c>
    </row>
    <row r="76" spans="1:34" ht="15.95" customHeight="1" x14ac:dyDescent="0.25">
      <c r="A76" s="504"/>
      <c r="B76" s="14"/>
      <c r="C76" s="13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6"/>
      <c r="P76" s="14"/>
      <c r="Q76" s="15" t="s">
        <v>65</v>
      </c>
      <c r="R76" s="16" t="s">
        <v>66</v>
      </c>
      <c r="S76" s="14"/>
      <c r="T76" s="16">
        <f>ROUND((0.001*K72*O72*(1-N72/100)*(1-0)),4)</f>
        <v>1.8326</v>
      </c>
      <c r="U76" s="16">
        <f>ROUND((0.001*K72*P72*(1-N72/100)*(1-0)),4)</f>
        <v>9.3562999999999992</v>
      </c>
      <c r="V76" s="848">
        <f>SUM(T72:T76)</f>
        <v>2.4994999999999998</v>
      </c>
      <c r="W76" s="848">
        <f>SUM(U72:U76)</f>
        <v>12.7608</v>
      </c>
      <c r="Y76" t="s">
        <v>67</v>
      </c>
      <c r="Z76" t="s">
        <v>68</v>
      </c>
    </row>
    <row r="77" spans="1:34" ht="15.95" customHeight="1" x14ac:dyDescent="0.25">
      <c r="A77" s="2" t="s">
        <v>69</v>
      </c>
      <c r="B77" s="3" t="s">
        <v>45</v>
      </c>
      <c r="C77" s="4" t="s">
        <v>46</v>
      </c>
      <c r="D77" s="847">
        <v>0.01</v>
      </c>
      <c r="E77" s="847">
        <v>0.05</v>
      </c>
      <c r="F77" s="3">
        <v>42.75</v>
      </c>
      <c r="G77" s="3">
        <v>0.01</v>
      </c>
      <c r="H77" s="3">
        <v>0.02</v>
      </c>
      <c r="I77" s="3" t="s">
        <v>47</v>
      </c>
      <c r="J77" s="3">
        <v>0.1</v>
      </c>
      <c r="K77" s="3">
        <f>ROUND((M77*L77*F77),3)</f>
        <v>13.894</v>
      </c>
      <c r="L77" s="3">
        <v>0.65</v>
      </c>
      <c r="M77" s="3">
        <v>0.5</v>
      </c>
      <c r="N77" s="3">
        <v>0</v>
      </c>
      <c r="O77" s="3">
        <v>131.9</v>
      </c>
      <c r="P77" s="3">
        <v>673.40800000000002</v>
      </c>
      <c r="Q77" s="5" t="s">
        <v>48</v>
      </c>
      <c r="R77" s="3" t="s">
        <v>49</v>
      </c>
      <c r="S77" s="6"/>
      <c r="T77" s="3">
        <f>ROUND((((0.001*O77*F77*J77*(1-0))*0.8)),4)</f>
        <v>0.4511</v>
      </c>
      <c r="U77" s="3">
        <f>ROUND((((0.001*P77*F77*J77*(1-0))*0.8)),4)</f>
        <v>2.3031000000000001</v>
      </c>
      <c r="V77" s="286"/>
      <c r="W77" s="286"/>
      <c r="Y77" t="s">
        <v>1448</v>
      </c>
      <c r="AB77" t="s">
        <v>1449</v>
      </c>
    </row>
    <row r="78" spans="1:34" ht="15.95" customHeight="1" x14ac:dyDescent="0.25">
      <c r="A78" s="502"/>
      <c r="B78" s="7" t="s">
        <v>50</v>
      </c>
      <c r="C78" s="8"/>
      <c r="D78" s="7">
        <v>0.01</v>
      </c>
      <c r="E78" s="7">
        <v>0.05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9" t="s">
        <v>51</v>
      </c>
      <c r="R78" s="10" t="s">
        <v>52</v>
      </c>
      <c r="S78" s="11"/>
      <c r="T78" s="7">
        <f>ROUND(((0.001*O77*F77*J77*(1-0))*0.13),4)</f>
        <v>7.3300000000000004E-2</v>
      </c>
      <c r="U78" s="7">
        <f>ROUND((((0.001*P77*F77*J77*(1-0))*0.13)),4)</f>
        <v>0.37419999999999998</v>
      </c>
      <c r="V78" s="286"/>
      <c r="W78" s="286"/>
      <c r="Y78" t="s">
        <v>58</v>
      </c>
      <c r="AB78" t="s">
        <v>59</v>
      </c>
      <c r="AD78" t="s">
        <v>60</v>
      </c>
    </row>
    <row r="79" spans="1:34" ht="15.95" customHeight="1" x14ac:dyDescent="0.25">
      <c r="A79" s="503"/>
      <c r="B79" s="11" t="s">
        <v>55</v>
      </c>
      <c r="C79" s="8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7"/>
      <c r="P79" s="11"/>
      <c r="Q79" s="9" t="s">
        <v>56</v>
      </c>
      <c r="R79" s="7" t="s">
        <v>57</v>
      </c>
      <c r="S79" s="11"/>
      <c r="T79" s="7">
        <f>ROUND((0.02*O77*E77*(1-H77)*(1-I77)),4)</f>
        <v>0.1293</v>
      </c>
      <c r="U79" s="7">
        <f>ROUND((0.02*P77*E78*(1-H77)*(1-I77)),4)</f>
        <v>0.65990000000000004</v>
      </c>
      <c r="V79" s="286"/>
      <c r="W79" s="286"/>
      <c r="Y79" t="s">
        <v>63</v>
      </c>
      <c r="Z79" t="s">
        <v>64</v>
      </c>
    </row>
    <row r="80" spans="1:34" ht="15.95" customHeight="1" x14ac:dyDescent="0.25">
      <c r="A80" s="503"/>
      <c r="B80" s="11"/>
      <c r="C80" s="8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7"/>
      <c r="P80" s="11"/>
      <c r="Q80" s="9" t="s">
        <v>61</v>
      </c>
      <c r="R80" s="7" t="s">
        <v>62</v>
      </c>
      <c r="S80" s="11"/>
      <c r="T80" s="7">
        <f>ROUND((O77*D77*G77*(1-S80)),4)</f>
        <v>1.32E-2</v>
      </c>
      <c r="U80" s="7">
        <f>ROUND((P77*D77*G77*(1-S80)),4)</f>
        <v>6.7299999999999999E-2</v>
      </c>
      <c r="V80" s="286"/>
      <c r="W80" s="286"/>
      <c r="Y80" t="s">
        <v>67</v>
      </c>
      <c r="Z80" t="s">
        <v>68</v>
      </c>
    </row>
    <row r="81" spans="1:33" ht="15.95" customHeight="1" x14ac:dyDescent="0.25">
      <c r="A81" s="504"/>
      <c r="B81" s="14"/>
      <c r="C81" s="13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6"/>
      <c r="P81" s="14"/>
      <c r="Q81" s="15" t="s">
        <v>65</v>
      </c>
      <c r="R81" s="16" t="s">
        <v>66</v>
      </c>
      <c r="S81" s="14"/>
      <c r="T81" s="16">
        <f>ROUND((0.001*K77*O77*(1-N77/100)*(1-0)),4)</f>
        <v>1.8326</v>
      </c>
      <c r="U81" s="16">
        <f>ROUND((0.001*K77*P77*(1-N77/100)*(1-0)),4)</f>
        <v>9.3562999999999992</v>
      </c>
      <c r="V81" s="848">
        <f>SUM(T77:T81)</f>
        <v>2.4994999999999998</v>
      </c>
      <c r="W81" s="848">
        <f>SUM(U77:U81)</f>
        <v>12.7608</v>
      </c>
    </row>
    <row r="82" spans="1:33" ht="15.95" customHeight="1" x14ac:dyDescent="0.25">
      <c r="A82" s="2" t="s">
        <v>70</v>
      </c>
      <c r="B82" s="3" t="s">
        <v>45</v>
      </c>
      <c r="C82" s="4" t="s">
        <v>46</v>
      </c>
      <c r="D82" s="847">
        <v>0.01</v>
      </c>
      <c r="E82" s="847">
        <v>0.05</v>
      </c>
      <c r="F82" s="3">
        <v>42.75</v>
      </c>
      <c r="G82" s="3">
        <v>0.01</v>
      </c>
      <c r="H82" s="3">
        <v>0.02</v>
      </c>
      <c r="I82" s="3" t="s">
        <v>47</v>
      </c>
      <c r="J82" s="3">
        <v>0.1</v>
      </c>
      <c r="K82" s="3">
        <f>ROUND((M82*L82*F82),3)</f>
        <v>13.894</v>
      </c>
      <c r="L82" s="3">
        <v>0.65</v>
      </c>
      <c r="M82" s="3">
        <v>0.5</v>
      </c>
      <c r="N82" s="3">
        <v>0</v>
      </c>
      <c r="O82" s="3">
        <v>131.9</v>
      </c>
      <c r="P82" s="3">
        <v>673.40800000000002</v>
      </c>
      <c r="Q82" s="5" t="s">
        <v>48</v>
      </c>
      <c r="R82" s="3" t="s">
        <v>49</v>
      </c>
      <c r="S82" s="6"/>
      <c r="T82" s="3">
        <f>ROUND((((0.001*O82*F82*J82*(1-0))*0.8)),4)</f>
        <v>0.4511</v>
      </c>
      <c r="U82" s="3">
        <f>ROUND((((0.001*P82*F82*J82*(1-0))*0.8)),4)</f>
        <v>2.3031000000000001</v>
      </c>
      <c r="V82" s="286"/>
      <c r="W82" s="286"/>
      <c r="Y82" t="s">
        <v>1448</v>
      </c>
      <c r="AB82" t="s">
        <v>1449</v>
      </c>
    </row>
    <row r="83" spans="1:33" ht="15.95" customHeight="1" x14ac:dyDescent="0.25">
      <c r="A83" s="502"/>
      <c r="B83" s="7" t="s">
        <v>50</v>
      </c>
      <c r="C83" s="8"/>
      <c r="D83" s="7">
        <v>0.01</v>
      </c>
      <c r="E83" s="7">
        <v>0.05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9" t="s">
        <v>51</v>
      </c>
      <c r="R83" s="10" t="s">
        <v>52</v>
      </c>
      <c r="S83" s="11"/>
      <c r="T83" s="7">
        <f>ROUND(((0.001*O82*F82*J82*(1-0))*0.13),4)</f>
        <v>7.3300000000000004E-2</v>
      </c>
      <c r="U83" s="7">
        <f>ROUND((((0.001*P82*F82*J82*(1-0))*0.13)),4)</f>
        <v>0.37419999999999998</v>
      </c>
      <c r="V83" s="286"/>
      <c r="W83" s="286"/>
      <c r="Y83" t="s">
        <v>58</v>
      </c>
      <c r="AB83" t="s">
        <v>59</v>
      </c>
      <c r="AD83" t="s">
        <v>60</v>
      </c>
    </row>
    <row r="84" spans="1:33" ht="15.95" customHeight="1" x14ac:dyDescent="0.25">
      <c r="A84" s="503"/>
      <c r="B84" s="11" t="s">
        <v>55</v>
      </c>
      <c r="C84" s="8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7"/>
      <c r="P84" s="11"/>
      <c r="Q84" s="9" t="s">
        <v>56</v>
      </c>
      <c r="R84" s="7" t="s">
        <v>57</v>
      </c>
      <c r="S84" s="11"/>
      <c r="T84" s="7">
        <f>ROUND((0.02*O82*E82*(1-H82)*(1-I82)),4)</f>
        <v>0.1293</v>
      </c>
      <c r="U84" s="7">
        <f>ROUND((0.02*P82*E83*(1-H82)*(1-I82)),4)</f>
        <v>0.65990000000000004</v>
      </c>
      <c r="V84" s="286"/>
      <c r="W84" s="286"/>
      <c r="Y84" t="s">
        <v>63</v>
      </c>
      <c r="Z84" t="s">
        <v>64</v>
      </c>
    </row>
    <row r="85" spans="1:33" ht="15.95" customHeight="1" x14ac:dyDescent="0.25">
      <c r="A85" s="503"/>
      <c r="B85" s="11"/>
      <c r="C85" s="8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7"/>
      <c r="P85" s="11"/>
      <c r="Q85" s="9" t="s">
        <v>61</v>
      </c>
      <c r="R85" s="7" t="s">
        <v>62</v>
      </c>
      <c r="S85" s="11"/>
      <c r="T85" s="7">
        <f>ROUND((O82*D82*G82*(1-S85)),4)</f>
        <v>1.32E-2</v>
      </c>
      <c r="U85" s="7">
        <f>ROUND((P82*D82*G82*(1-S85)),4)</f>
        <v>6.7299999999999999E-2</v>
      </c>
      <c r="V85" s="286"/>
      <c r="W85" s="286"/>
      <c r="Y85" t="s">
        <v>67</v>
      </c>
      <c r="Z85" t="s">
        <v>68</v>
      </c>
    </row>
    <row r="86" spans="1:33" ht="15.95" customHeight="1" x14ac:dyDescent="0.25">
      <c r="A86" s="504"/>
      <c r="B86" s="14"/>
      <c r="C86" s="13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6"/>
      <c r="P86" s="14"/>
      <c r="Q86" s="15" t="s">
        <v>65</v>
      </c>
      <c r="R86" s="16" t="s">
        <v>66</v>
      </c>
      <c r="S86" s="14"/>
      <c r="T86" s="16">
        <f>ROUND((0.001*K82*O82*(1-N82/100)*(1-0)),4)</f>
        <v>1.8326</v>
      </c>
      <c r="U86" s="16">
        <f>ROUND((0.001*K82*P82*(1-N82/100)*(1-0)),4)</f>
        <v>9.3562999999999992</v>
      </c>
      <c r="V86" s="848">
        <f>SUM(T82:T86)</f>
        <v>2.4994999999999998</v>
      </c>
      <c r="W86" s="848">
        <f>SUM(U82:U86)</f>
        <v>12.7608</v>
      </c>
    </row>
    <row r="87" spans="1:33" ht="15.95" customHeight="1" x14ac:dyDescent="0.25">
      <c r="A87" s="2" t="s">
        <v>71</v>
      </c>
      <c r="B87" s="3" t="s">
        <v>45</v>
      </c>
      <c r="C87" s="4" t="s">
        <v>46</v>
      </c>
      <c r="D87" s="847">
        <v>0.01</v>
      </c>
      <c r="E87" s="847">
        <v>0.05</v>
      </c>
      <c r="F87" s="3">
        <v>42.75</v>
      </c>
      <c r="G87" s="3">
        <v>0.01</v>
      </c>
      <c r="H87" s="3">
        <v>0.02</v>
      </c>
      <c r="I87" s="3" t="s">
        <v>47</v>
      </c>
      <c r="J87" s="3">
        <v>0.1</v>
      </c>
      <c r="K87" s="3">
        <f>ROUND((M87*L87*F87),3)</f>
        <v>13.894</v>
      </c>
      <c r="L87" s="3">
        <v>0.65</v>
      </c>
      <c r="M87" s="3">
        <v>0.5</v>
      </c>
      <c r="N87" s="3">
        <v>0</v>
      </c>
      <c r="O87" s="3">
        <v>131.9</v>
      </c>
      <c r="P87" s="3">
        <v>673.40800000000002</v>
      </c>
      <c r="Q87" s="5" t="s">
        <v>48</v>
      </c>
      <c r="R87" s="3" t="s">
        <v>49</v>
      </c>
      <c r="S87" s="6"/>
      <c r="T87" s="3">
        <f>ROUND((((0.001*O87*F87*J87*(1-0))*0.8)),4)</f>
        <v>0.4511</v>
      </c>
      <c r="U87" s="3">
        <f>ROUND((((0.001*P87*F87*J87*(1-0))*0.8)),4)</f>
        <v>2.3031000000000001</v>
      </c>
      <c r="V87" s="286"/>
      <c r="W87" s="286"/>
      <c r="Y87" t="s">
        <v>1448</v>
      </c>
      <c r="AB87" t="s">
        <v>1449</v>
      </c>
    </row>
    <row r="88" spans="1:33" ht="15.95" customHeight="1" x14ac:dyDescent="0.25">
      <c r="A88" s="502"/>
      <c r="B88" s="7" t="s">
        <v>50</v>
      </c>
      <c r="C88" s="8"/>
      <c r="D88" s="7">
        <v>0.01</v>
      </c>
      <c r="E88" s="7">
        <v>0.05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9" t="s">
        <v>51</v>
      </c>
      <c r="R88" s="10" t="s">
        <v>52</v>
      </c>
      <c r="S88" s="11"/>
      <c r="T88" s="7">
        <f>ROUND(((0.001*O87*F87*J87*(1-0))*0.13),4)</f>
        <v>7.3300000000000004E-2</v>
      </c>
      <c r="U88" s="7">
        <f>ROUND((((0.001*P87*F87*J87*(1-0))*0.13)),4)</f>
        <v>0.37419999999999998</v>
      </c>
      <c r="V88" s="286"/>
      <c r="W88" s="286"/>
      <c r="Y88" t="s">
        <v>58</v>
      </c>
      <c r="AB88" t="s">
        <v>59</v>
      </c>
      <c r="AD88" t="s">
        <v>60</v>
      </c>
    </row>
    <row r="89" spans="1:33" ht="15.95" customHeight="1" x14ac:dyDescent="0.25">
      <c r="A89" s="503"/>
      <c r="B89" s="11" t="s">
        <v>55</v>
      </c>
      <c r="C89" s="8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7"/>
      <c r="P89" s="11"/>
      <c r="Q89" s="9" t="s">
        <v>56</v>
      </c>
      <c r="R89" s="7" t="s">
        <v>57</v>
      </c>
      <c r="S89" s="11"/>
      <c r="T89" s="7">
        <f>ROUND((0.02*O87*E87*(1-H87)*(1-I87)),4)</f>
        <v>0.1293</v>
      </c>
      <c r="U89" s="7">
        <f>ROUND((0.02*P87*E88*(1-H87)*(1-I87)),4)</f>
        <v>0.65990000000000004</v>
      </c>
      <c r="V89" s="286"/>
      <c r="W89" s="286"/>
      <c r="Y89" t="s">
        <v>63</v>
      </c>
      <c r="Z89" t="s">
        <v>64</v>
      </c>
      <c r="AG89">
        <f>P72+P77+P82+P87+P92</f>
        <v>3367.04</v>
      </c>
    </row>
    <row r="90" spans="1:33" ht="15.95" customHeight="1" x14ac:dyDescent="0.25">
      <c r="A90" s="503"/>
      <c r="B90" s="11"/>
      <c r="C90" s="8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7"/>
      <c r="P90" s="11"/>
      <c r="Q90" s="9" t="s">
        <v>61</v>
      </c>
      <c r="R90" s="7" t="s">
        <v>62</v>
      </c>
      <c r="S90" s="11"/>
      <c r="T90" s="7">
        <f>ROUND((O87*D87*G87*(1-S90)),4)</f>
        <v>1.32E-2</v>
      </c>
      <c r="U90" s="7">
        <f>ROUND((P87*D87*G87*(1-S90)),4)</f>
        <v>6.7299999999999999E-2</v>
      </c>
      <c r="V90" s="286"/>
      <c r="W90" s="286"/>
      <c r="Y90" t="s">
        <v>67</v>
      </c>
      <c r="Z90" t="s">
        <v>68</v>
      </c>
    </row>
    <row r="91" spans="1:33" ht="15.95" customHeight="1" x14ac:dyDescent="0.25">
      <c r="A91" s="504"/>
      <c r="B91" s="14"/>
      <c r="C91" s="13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6"/>
      <c r="P91" s="14"/>
      <c r="Q91" s="15" t="s">
        <v>65</v>
      </c>
      <c r="R91" s="16" t="s">
        <v>66</v>
      </c>
      <c r="S91" s="14"/>
      <c r="T91" s="16">
        <f>ROUND((0.001*K87*O87*(1-N87/100)*(1-0)),4)</f>
        <v>1.8326</v>
      </c>
      <c r="U91" s="16">
        <f>ROUND((0.001*K87*P87*(1-N87/100)*(1-0)),4)</f>
        <v>9.3562999999999992</v>
      </c>
      <c r="V91" s="848">
        <f>SUM(T87:T91)</f>
        <v>2.4994999999999998</v>
      </c>
      <c r="W91" s="848">
        <f>SUM(U87:U91)</f>
        <v>12.7608</v>
      </c>
    </row>
    <row r="92" spans="1:33" ht="15.95" customHeight="1" x14ac:dyDescent="0.25">
      <c r="A92" s="2" t="s">
        <v>72</v>
      </c>
      <c r="B92" s="3" t="s">
        <v>45</v>
      </c>
      <c r="C92" s="4" t="s">
        <v>46</v>
      </c>
      <c r="D92" s="847">
        <v>0.01</v>
      </c>
      <c r="E92" s="847">
        <v>0.05</v>
      </c>
      <c r="F92" s="3">
        <v>42.75</v>
      </c>
      <c r="G92" s="3">
        <v>0.01</v>
      </c>
      <c r="H92" s="3">
        <v>0.02</v>
      </c>
      <c r="I92" s="3" t="s">
        <v>47</v>
      </c>
      <c r="J92" s="3">
        <v>0.09</v>
      </c>
      <c r="K92" s="3">
        <f>ROUND((M92*L92*F92),3)</f>
        <v>13.894</v>
      </c>
      <c r="L92" s="3">
        <v>0.65</v>
      </c>
      <c r="M92" s="3">
        <v>0.5</v>
      </c>
      <c r="N92" s="3">
        <v>0</v>
      </c>
      <c r="O92" s="3">
        <v>38.6</v>
      </c>
      <c r="P92" s="3">
        <v>673.40800000000002</v>
      </c>
      <c r="Q92" s="5" t="s">
        <v>48</v>
      </c>
      <c r="R92" s="3" t="s">
        <v>49</v>
      </c>
      <c r="S92" s="6"/>
      <c r="T92" s="3">
        <f>ROUND((((0.001*O92*F92*J92*(1-0))*0.8)),4)</f>
        <v>0.1188</v>
      </c>
      <c r="U92" s="3">
        <f>ROUND((((0.001*P92*F92*J92*(1-0))*0.8)),4)</f>
        <v>2.0727000000000002</v>
      </c>
      <c r="V92" s="286"/>
      <c r="W92" s="286"/>
      <c r="Y92" t="s">
        <v>1448</v>
      </c>
      <c r="AB92" t="s">
        <v>1450</v>
      </c>
      <c r="AD92">
        <f>P92/O92*1000000/3600</f>
        <v>4846.0564191134126</v>
      </c>
    </row>
    <row r="93" spans="1:33" ht="15.95" customHeight="1" x14ac:dyDescent="0.25">
      <c r="A93" s="502"/>
      <c r="B93" s="7" t="s">
        <v>50</v>
      </c>
      <c r="C93" s="8"/>
      <c r="D93" s="7">
        <v>0.01</v>
      </c>
      <c r="E93" s="7">
        <v>0.05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9" t="s">
        <v>51</v>
      </c>
      <c r="R93" s="10" t="s">
        <v>52</v>
      </c>
      <c r="S93" s="11"/>
      <c r="T93" s="7">
        <f>ROUND(((0.001*O92*F92*J92*(1-0))*0.13),4)</f>
        <v>1.9300000000000001E-2</v>
      </c>
      <c r="U93" s="7">
        <f>ROUND((((0.001*P92*F92*J92*(1-0))*0.13)),4)</f>
        <v>0.33679999999999999</v>
      </c>
      <c r="V93" s="286"/>
      <c r="W93" s="286"/>
      <c r="Y93" t="s">
        <v>58</v>
      </c>
      <c r="AB93" t="s">
        <v>59</v>
      </c>
      <c r="AD93" t="s">
        <v>73</v>
      </c>
    </row>
    <row r="94" spans="1:33" ht="15.95" customHeight="1" x14ac:dyDescent="0.25">
      <c r="A94" s="503"/>
      <c r="B94" s="11" t="s">
        <v>74</v>
      </c>
      <c r="C94" s="8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7"/>
      <c r="P94" s="11"/>
      <c r="Q94" s="9" t="s">
        <v>56</v>
      </c>
      <c r="R94" s="7" t="s">
        <v>57</v>
      </c>
      <c r="S94" s="11"/>
      <c r="T94" s="7">
        <f>ROUND((0.02*O92*E92*(1-H92)*(1-I92)),4)</f>
        <v>3.78E-2</v>
      </c>
      <c r="U94" s="7">
        <f>ROUND((0.02*P92*E93*(1-H92)*(1-I92)),4)</f>
        <v>0.65990000000000004</v>
      </c>
      <c r="V94" s="286"/>
      <c r="W94" s="286"/>
      <c r="Y94" t="s">
        <v>63</v>
      </c>
      <c r="Z94" t="s">
        <v>64</v>
      </c>
    </row>
    <row r="95" spans="1:33" ht="15.95" customHeight="1" x14ac:dyDescent="0.25">
      <c r="A95" s="503"/>
      <c r="B95" s="11"/>
      <c r="C95" s="8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7"/>
      <c r="P95" s="11"/>
      <c r="Q95" s="9" t="s">
        <v>61</v>
      </c>
      <c r="R95" s="7" t="s">
        <v>62</v>
      </c>
      <c r="S95" s="11"/>
      <c r="T95" s="7">
        <f>ROUND((O92*D92*G92*(1-S95)),4)</f>
        <v>3.8999999999999998E-3</v>
      </c>
      <c r="U95" s="7">
        <f>ROUND((P92*D92*G92*(1-S95)),4)</f>
        <v>6.7299999999999999E-2</v>
      </c>
      <c r="V95" s="286"/>
      <c r="W95" s="286"/>
      <c r="Y95" t="s">
        <v>67</v>
      </c>
      <c r="Z95" t="s">
        <v>75</v>
      </c>
    </row>
    <row r="96" spans="1:33" s="480" customFormat="1" ht="15.95" customHeight="1" x14ac:dyDescent="0.2">
      <c r="A96" s="504"/>
      <c r="B96" s="14"/>
      <c r="C96" s="13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6"/>
      <c r="P96" s="14"/>
      <c r="Q96" s="15" t="s">
        <v>65</v>
      </c>
      <c r="R96" s="16" t="s">
        <v>66</v>
      </c>
      <c r="S96" s="14"/>
      <c r="T96" s="16">
        <f>ROUND((0.001*K92*O92*(1-N92/100)*(1-0)),4)</f>
        <v>0.5363</v>
      </c>
      <c r="U96" s="16">
        <f>ROUND((0.001*K92*P92*(1-N92/100)*(1-0)),4)</f>
        <v>9.3562999999999992</v>
      </c>
      <c r="V96" s="849">
        <f>SUM(T92:T96)</f>
        <v>0.71609999999999996</v>
      </c>
      <c r="W96" s="849">
        <f>SUM(U92:U96)</f>
        <v>12.492999999999999</v>
      </c>
    </row>
    <row r="97" spans="1:23" ht="15.95" customHeight="1" x14ac:dyDescent="0.25">
      <c r="A97" s="1023" t="s">
        <v>1153</v>
      </c>
      <c r="B97" s="1024"/>
      <c r="C97" s="1024"/>
      <c r="D97" s="1024"/>
      <c r="E97" s="1024"/>
      <c r="F97" s="1024"/>
      <c r="G97" s="1024"/>
      <c r="H97" s="1024"/>
      <c r="I97" s="1024"/>
      <c r="J97" s="1024"/>
      <c r="K97" s="1024"/>
      <c r="L97" s="1024"/>
      <c r="M97" s="1024"/>
      <c r="N97" s="1024"/>
      <c r="O97" s="1024"/>
      <c r="P97" s="1024"/>
      <c r="Q97" s="1024"/>
      <c r="R97" s="1024"/>
      <c r="S97" s="1025"/>
      <c r="T97" s="850"/>
      <c r="U97" s="850"/>
      <c r="V97" s="851">
        <f>SUM(V73:V96)</f>
        <v>10.714099999999998</v>
      </c>
      <c r="W97" s="851">
        <f>SUM(W73:W96)</f>
        <v>63.536199999999994</v>
      </c>
    </row>
    <row r="98" spans="1:23" ht="15.95" customHeight="1" x14ac:dyDescent="0.25">
      <c r="A98" s="2" t="s">
        <v>1407</v>
      </c>
      <c r="B98" s="3" t="s">
        <v>1408</v>
      </c>
      <c r="C98" s="4" t="s">
        <v>46</v>
      </c>
      <c r="D98" s="847">
        <v>0.01</v>
      </c>
      <c r="E98" s="847">
        <v>0.05</v>
      </c>
      <c r="F98" s="3">
        <v>42.75</v>
      </c>
      <c r="G98" s="3">
        <v>0.01</v>
      </c>
      <c r="H98" s="3">
        <v>0.02</v>
      </c>
      <c r="I98" s="3" t="s">
        <v>47</v>
      </c>
      <c r="J98" s="3">
        <v>0.1</v>
      </c>
      <c r="K98" s="3">
        <f>ROUND((M98*L98*F98),3)</f>
        <v>13.894</v>
      </c>
      <c r="L98" s="3">
        <v>0.65</v>
      </c>
      <c r="M98" s="3">
        <v>0.5</v>
      </c>
      <c r="N98" s="3">
        <v>0</v>
      </c>
      <c r="O98" s="3">
        <v>780.1</v>
      </c>
      <c r="P98" s="3">
        <f>67.4/4</f>
        <v>16.850000000000001</v>
      </c>
      <c r="Q98" s="5" t="s">
        <v>48</v>
      </c>
      <c r="R98" s="3" t="s">
        <v>49</v>
      </c>
      <c r="S98" s="6"/>
      <c r="T98" s="3">
        <f>ROUND((((0.001*O98*F98*J98*(1-0))*0.8)),4)</f>
        <v>2.6678999999999999</v>
      </c>
      <c r="U98" s="3">
        <f>ROUND((((0.001*P98*F98*J98*(1-0))*0.8)),4)</f>
        <v>5.7599999999999998E-2</v>
      </c>
      <c r="V98" s="286"/>
      <c r="W98" s="286" t="s">
        <v>1410</v>
      </c>
    </row>
    <row r="99" spans="1:23" ht="15.95" customHeight="1" x14ac:dyDescent="0.25">
      <c r="A99" s="502"/>
      <c r="B99" s="7" t="s">
        <v>1409</v>
      </c>
      <c r="C99" s="8"/>
      <c r="D99" s="7">
        <v>0.01</v>
      </c>
      <c r="E99" s="7">
        <v>0.05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9" t="s">
        <v>51</v>
      </c>
      <c r="R99" s="10" t="s">
        <v>52</v>
      </c>
      <c r="S99" s="11"/>
      <c r="T99" s="7">
        <f>ROUND(((0.001*O98*F98*J98*(1-0))*0.13),4)</f>
        <v>0.4335</v>
      </c>
      <c r="U99" s="7">
        <f>ROUND((((0.001*P98*F98*J98*(1-0))*0.13)),4)</f>
        <v>9.4000000000000004E-3</v>
      </c>
      <c r="V99" s="286"/>
      <c r="W99" s="286"/>
    </row>
    <row r="100" spans="1:23" ht="15.95" customHeight="1" x14ac:dyDescent="0.25">
      <c r="A100" s="503"/>
      <c r="B100" s="7" t="s">
        <v>1413</v>
      </c>
      <c r="C100" s="8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7"/>
      <c r="P100" s="11"/>
      <c r="Q100" s="9" t="s">
        <v>56</v>
      </c>
      <c r="R100" s="7" t="s">
        <v>57</v>
      </c>
      <c r="S100" s="11"/>
      <c r="T100" s="7">
        <f>ROUND((0.02*O98*E98*(1-H98)*(1-I98)),4)</f>
        <v>0.76449999999999996</v>
      </c>
      <c r="U100" s="7">
        <f>ROUND((0.02*P98*E99*(1-H98)*(1-I98)),4)</f>
        <v>1.6500000000000001E-2</v>
      </c>
      <c r="V100" s="286"/>
      <c r="W100" s="286"/>
    </row>
    <row r="101" spans="1:23" x14ac:dyDescent="0.25">
      <c r="A101" s="503"/>
      <c r="B101" s="11"/>
      <c r="C101" s="8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7"/>
      <c r="P101" s="11"/>
      <c r="Q101" s="9" t="s">
        <v>61</v>
      </c>
      <c r="R101" s="7" t="s">
        <v>62</v>
      </c>
      <c r="S101" s="11"/>
      <c r="T101" s="7">
        <f>ROUND((O98*D98*G98*(1-S101)),4)</f>
        <v>7.8E-2</v>
      </c>
      <c r="U101" s="7">
        <f>ROUND((P98*D98*G98*(1-S101)),4)</f>
        <v>1.6999999999999999E-3</v>
      </c>
      <c r="V101" s="286"/>
      <c r="W101" s="286"/>
    </row>
    <row r="102" spans="1:23" x14ac:dyDescent="0.25">
      <c r="A102" s="504"/>
      <c r="B102" s="14"/>
      <c r="C102" s="13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6"/>
      <c r="P102" s="14"/>
      <c r="Q102" s="15" t="s">
        <v>65</v>
      </c>
      <c r="R102" s="16" t="s">
        <v>66</v>
      </c>
      <c r="S102" s="14"/>
      <c r="T102" s="16">
        <f>ROUND((0.001*K98*O98*(1-N98/100)*(1-0)),4)</f>
        <v>10.838699999999999</v>
      </c>
      <c r="U102" s="16">
        <f>ROUND((0.001*K98*P98*(1-N98/100)*(1-0)),4)</f>
        <v>0.2341</v>
      </c>
      <c r="V102" s="546">
        <f>SUM(T98:T102)</f>
        <v>14.782599999999999</v>
      </c>
      <c r="W102" s="546">
        <f>SUM(U98:U102)</f>
        <v>0.31930000000000003</v>
      </c>
    </row>
    <row r="103" spans="1:23" ht="15" customHeight="1" x14ac:dyDescent="0.25">
      <c r="A103" s="1023" t="s">
        <v>147</v>
      </c>
      <c r="B103" s="1024"/>
      <c r="C103" s="1024"/>
      <c r="D103" s="1024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024"/>
      <c r="O103" s="1024"/>
      <c r="P103" s="1024"/>
      <c r="Q103" s="1024"/>
      <c r="R103" s="1024"/>
      <c r="S103" s="1025"/>
      <c r="T103" s="850"/>
      <c r="U103" s="850"/>
      <c r="V103" s="851"/>
      <c r="W103" s="851"/>
    </row>
    <row r="104" spans="1:23" x14ac:dyDescent="0.25">
      <c r="A104" s="2" t="s">
        <v>44</v>
      </c>
      <c r="B104" s="3" t="s">
        <v>45</v>
      </c>
      <c r="C104" s="4" t="s">
        <v>46</v>
      </c>
      <c r="D104" s="847">
        <v>0.01</v>
      </c>
      <c r="E104" s="847">
        <v>0.05</v>
      </c>
      <c r="F104" s="3">
        <v>42.75</v>
      </c>
      <c r="G104" s="3">
        <v>0.01</v>
      </c>
      <c r="H104" s="3">
        <v>0.02</v>
      </c>
      <c r="I104" s="3" t="s">
        <v>47</v>
      </c>
      <c r="J104" s="3">
        <v>0.1</v>
      </c>
      <c r="K104" s="3">
        <f>ROUND((M104*L104*F104),3)</f>
        <v>13.894</v>
      </c>
      <c r="L104" s="3">
        <v>0.65</v>
      </c>
      <c r="M104" s="3">
        <v>0.5</v>
      </c>
      <c r="N104" s="3">
        <v>0</v>
      </c>
      <c r="O104" s="3">
        <v>131.9</v>
      </c>
      <c r="P104" s="3">
        <v>95.32</v>
      </c>
      <c r="Q104" s="5" t="s">
        <v>48</v>
      </c>
      <c r="R104" s="3" t="s">
        <v>49</v>
      </c>
      <c r="S104" s="6"/>
      <c r="T104" s="3">
        <f>ROUND((((0.001*O104*F104*J104*(1-0))*0.8)),4)</f>
        <v>0.4511</v>
      </c>
      <c r="U104" s="3">
        <f>ROUND((((0.001*P104*F104*J104*(1-0))*0.8)),4)</f>
        <v>0.32600000000000001</v>
      </c>
      <c r="V104" s="286"/>
      <c r="W104" s="286"/>
    </row>
    <row r="105" spans="1:23" x14ac:dyDescent="0.25">
      <c r="A105" s="502"/>
      <c r="B105" s="7" t="s">
        <v>50</v>
      </c>
      <c r="C105" s="8"/>
      <c r="D105" s="7">
        <v>0.01</v>
      </c>
      <c r="E105" s="7">
        <v>0.05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9" t="s">
        <v>51</v>
      </c>
      <c r="R105" s="10" t="s">
        <v>52</v>
      </c>
      <c r="S105" s="11"/>
      <c r="T105" s="7">
        <f>ROUND(((0.001*O104*F104*J104*(1-0))*0.13),4)</f>
        <v>7.3300000000000004E-2</v>
      </c>
      <c r="U105" s="7">
        <f>ROUND((((0.001*P104*F104*J104*(1-0))*0.13)),4)</f>
        <v>5.2999999999999999E-2</v>
      </c>
      <c r="V105" s="286"/>
      <c r="W105" s="286"/>
    </row>
    <row r="106" spans="1:23" x14ac:dyDescent="0.25">
      <c r="A106" s="503"/>
      <c r="B106" s="11" t="s">
        <v>55</v>
      </c>
      <c r="C106" s="8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7"/>
      <c r="P106" s="11"/>
      <c r="Q106" s="9" t="s">
        <v>56</v>
      </c>
      <c r="R106" s="7" t="s">
        <v>57</v>
      </c>
      <c r="S106" s="11"/>
      <c r="T106" s="7">
        <f>ROUND((0.02*O104*E104*(1-H104)*(1-I104)),4)</f>
        <v>0.1293</v>
      </c>
      <c r="U106" s="7">
        <f>ROUND((0.02*P104*E105*(1-H104)*(1-I104)),4)</f>
        <v>9.3399999999999997E-2</v>
      </c>
      <c r="V106" s="286"/>
      <c r="W106" s="286"/>
    </row>
    <row r="107" spans="1:23" x14ac:dyDescent="0.25">
      <c r="A107" s="503"/>
      <c r="B107" s="11"/>
      <c r="C107" s="8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7"/>
      <c r="P107" s="11"/>
      <c r="Q107" s="9" t="s">
        <v>61</v>
      </c>
      <c r="R107" s="7" t="s">
        <v>62</v>
      </c>
      <c r="S107" s="11"/>
      <c r="T107" s="7">
        <f>ROUND((O104*D104*G104*(1-S107)),4)</f>
        <v>1.32E-2</v>
      </c>
      <c r="U107" s="7">
        <f>ROUND((P104*D104*G104*(1-S107)),4)</f>
        <v>9.4999999999999998E-3</v>
      </c>
      <c r="V107" s="286"/>
      <c r="W107" s="286"/>
    </row>
    <row r="108" spans="1:23" x14ac:dyDescent="0.25">
      <c r="A108" s="504"/>
      <c r="B108" s="14"/>
      <c r="C108" s="13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6"/>
      <c r="P108" s="14"/>
      <c r="Q108" s="15" t="s">
        <v>65</v>
      </c>
      <c r="R108" s="16" t="s">
        <v>66</v>
      </c>
      <c r="S108" s="14"/>
      <c r="T108" s="16">
        <f>ROUND((0.001*K104*O104*(1-N104/100)*(1-0)),4)</f>
        <v>1.8326</v>
      </c>
      <c r="U108" s="16">
        <f>ROUND((0.001*K104*P104*(1-N104/100)*(1-0)),4)</f>
        <v>1.3244</v>
      </c>
      <c r="V108" s="848">
        <f>SUM(T104:T108)</f>
        <v>2.4994999999999998</v>
      </c>
      <c r="W108" s="848">
        <f>SUM(U104:U108)</f>
        <v>1.8063</v>
      </c>
    </row>
    <row r="109" spans="1:23" x14ac:dyDescent="0.25">
      <c r="A109" s="2" t="s">
        <v>69</v>
      </c>
      <c r="B109" s="3" t="s">
        <v>45</v>
      </c>
      <c r="C109" s="4" t="s">
        <v>46</v>
      </c>
      <c r="D109" s="847">
        <v>0.01</v>
      </c>
      <c r="E109" s="847">
        <v>0.05</v>
      </c>
      <c r="F109" s="3">
        <v>42.75</v>
      </c>
      <c r="G109" s="3">
        <v>0.01</v>
      </c>
      <c r="H109" s="3">
        <v>0.02</v>
      </c>
      <c r="I109" s="3" t="s">
        <v>47</v>
      </c>
      <c r="J109" s="3">
        <v>0.1</v>
      </c>
      <c r="K109" s="3">
        <f>ROUND((M109*L109*F109),3)</f>
        <v>13.894</v>
      </c>
      <c r="L109" s="3">
        <v>0.65</v>
      </c>
      <c r="M109" s="3">
        <v>0.5</v>
      </c>
      <c r="N109" s="3">
        <v>0</v>
      </c>
      <c r="O109" s="3">
        <v>131.9</v>
      </c>
      <c r="P109" s="3">
        <v>95.32</v>
      </c>
      <c r="Q109" s="5" t="s">
        <v>48</v>
      </c>
      <c r="R109" s="3" t="s">
        <v>49</v>
      </c>
      <c r="S109" s="6"/>
      <c r="T109" s="3">
        <f>ROUND((((0.001*O109*F109*J109*(1-0))*0.8)),4)</f>
        <v>0.4511</v>
      </c>
      <c r="U109" s="3">
        <f>ROUND((((0.001*P109*F109*J109*(1-0))*0.8)),4)</f>
        <v>0.32600000000000001</v>
      </c>
      <c r="V109" s="286"/>
      <c r="W109" s="286"/>
    </row>
    <row r="110" spans="1:23" x14ac:dyDescent="0.25">
      <c r="A110" s="502"/>
      <c r="B110" s="7" t="s">
        <v>50</v>
      </c>
      <c r="C110" s="8"/>
      <c r="D110" s="7">
        <v>0.01</v>
      </c>
      <c r="E110" s="7">
        <v>0.05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9" t="s">
        <v>51</v>
      </c>
      <c r="R110" s="10" t="s">
        <v>52</v>
      </c>
      <c r="S110" s="11"/>
      <c r="T110" s="7">
        <f>ROUND(((0.001*O109*F109*J109*(1-0))*0.13),4)</f>
        <v>7.3300000000000004E-2</v>
      </c>
      <c r="U110" s="7">
        <f>ROUND((((0.001*P109*F109*J109*(1-0))*0.13)),4)</f>
        <v>5.2999999999999999E-2</v>
      </c>
      <c r="V110" s="286"/>
      <c r="W110" s="286"/>
    </row>
    <row r="111" spans="1:23" x14ac:dyDescent="0.25">
      <c r="A111" s="503"/>
      <c r="B111" s="11" t="s">
        <v>55</v>
      </c>
      <c r="C111" s="8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7"/>
      <c r="P111" s="11"/>
      <c r="Q111" s="9" t="s">
        <v>56</v>
      </c>
      <c r="R111" s="7" t="s">
        <v>57</v>
      </c>
      <c r="S111" s="11"/>
      <c r="T111" s="7">
        <f>ROUND((0.02*O109*E109*(1-H109)*(1-I109)),4)</f>
        <v>0.1293</v>
      </c>
      <c r="U111" s="7">
        <f>ROUND((0.02*P109*E110*(1-H109)*(1-I109)),4)</f>
        <v>9.3399999999999997E-2</v>
      </c>
      <c r="V111" s="286"/>
      <c r="W111" s="286"/>
    </row>
    <row r="112" spans="1:23" x14ac:dyDescent="0.25">
      <c r="A112" s="503"/>
      <c r="B112" s="11"/>
      <c r="C112" s="8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7"/>
      <c r="P112" s="11"/>
      <c r="Q112" s="9" t="s">
        <v>61</v>
      </c>
      <c r="R112" s="7" t="s">
        <v>62</v>
      </c>
      <c r="S112" s="11"/>
      <c r="T112" s="7">
        <f>ROUND((O109*D109*G109*(1-S112)),4)</f>
        <v>1.32E-2</v>
      </c>
      <c r="U112" s="7">
        <f>ROUND((P109*D109*G109*(1-S112)),4)</f>
        <v>9.4999999999999998E-3</v>
      </c>
      <c r="V112" s="286"/>
      <c r="W112" s="286"/>
    </row>
    <row r="113" spans="1:23" x14ac:dyDescent="0.25">
      <c r="A113" s="504"/>
      <c r="B113" s="14"/>
      <c r="C113" s="13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6"/>
      <c r="P113" s="14"/>
      <c r="Q113" s="15" t="s">
        <v>65</v>
      </c>
      <c r="R113" s="16" t="s">
        <v>66</v>
      </c>
      <c r="S113" s="14"/>
      <c r="T113" s="16">
        <f>ROUND((0.001*K109*O109*(1-N109/100)*(1-0)),4)</f>
        <v>1.8326</v>
      </c>
      <c r="U113" s="16">
        <f>ROUND((0.001*K109*P109*(1-N109/100)*(1-0)),4)</f>
        <v>1.3244</v>
      </c>
      <c r="V113" s="848">
        <f>SUM(T109:T113)</f>
        <v>2.4994999999999998</v>
      </c>
      <c r="W113" s="848">
        <f>SUM(U109:U113)</f>
        <v>1.8063</v>
      </c>
    </row>
    <row r="114" spans="1:23" x14ac:dyDescent="0.25">
      <c r="A114" s="2" t="s">
        <v>70</v>
      </c>
      <c r="B114" s="3" t="s">
        <v>45</v>
      </c>
      <c r="C114" s="4" t="s">
        <v>46</v>
      </c>
      <c r="D114" s="847">
        <v>0.01</v>
      </c>
      <c r="E114" s="847">
        <v>0.05</v>
      </c>
      <c r="F114" s="3">
        <v>42.75</v>
      </c>
      <c r="G114" s="3">
        <v>0.01</v>
      </c>
      <c r="H114" s="3">
        <v>0.02</v>
      </c>
      <c r="I114" s="3" t="s">
        <v>47</v>
      </c>
      <c r="J114" s="3">
        <v>0.1</v>
      </c>
      <c r="K114" s="3">
        <f>ROUND((M114*L114*F114),3)</f>
        <v>13.894</v>
      </c>
      <c r="L114" s="3">
        <v>0.65</v>
      </c>
      <c r="M114" s="3">
        <v>0.5</v>
      </c>
      <c r="N114" s="3">
        <v>0</v>
      </c>
      <c r="O114" s="3">
        <v>131.9</v>
      </c>
      <c r="P114" s="3">
        <v>95.32</v>
      </c>
      <c r="Q114" s="5" t="s">
        <v>48</v>
      </c>
      <c r="R114" s="3" t="s">
        <v>49</v>
      </c>
      <c r="S114" s="6"/>
      <c r="T114" s="3">
        <f>ROUND((((0.001*O114*F114*J114*(1-0))*0.8)),4)</f>
        <v>0.4511</v>
      </c>
      <c r="U114" s="3">
        <f>ROUND((((0.001*P114*F114*J114*(1-0))*0.8)),4)</f>
        <v>0.32600000000000001</v>
      </c>
      <c r="V114" s="286"/>
      <c r="W114" s="286"/>
    </row>
    <row r="115" spans="1:23" x14ac:dyDescent="0.25">
      <c r="A115" s="502"/>
      <c r="B115" s="7" t="s">
        <v>50</v>
      </c>
      <c r="C115" s="8"/>
      <c r="D115" s="7">
        <v>0.01</v>
      </c>
      <c r="E115" s="7">
        <v>0.05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9" t="s">
        <v>51</v>
      </c>
      <c r="R115" s="10" t="s">
        <v>52</v>
      </c>
      <c r="S115" s="11"/>
      <c r="T115" s="7">
        <f>ROUND(((0.001*O114*F114*J114*(1-0))*0.13),4)</f>
        <v>7.3300000000000004E-2</v>
      </c>
      <c r="U115" s="7">
        <f>ROUND((((0.001*P114*F114*J114*(1-0))*0.13)),4)</f>
        <v>5.2999999999999999E-2</v>
      </c>
      <c r="V115" s="286"/>
      <c r="W115" s="286"/>
    </row>
    <row r="116" spans="1:23" x14ac:dyDescent="0.25">
      <c r="A116" s="503"/>
      <c r="B116" s="11" t="s">
        <v>55</v>
      </c>
      <c r="C116" s="8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7"/>
      <c r="P116" s="11"/>
      <c r="Q116" s="9" t="s">
        <v>56</v>
      </c>
      <c r="R116" s="7" t="s">
        <v>57</v>
      </c>
      <c r="S116" s="11"/>
      <c r="T116" s="7">
        <f>ROUND((0.02*O114*E114*(1-H114)*(1-I114)),4)</f>
        <v>0.1293</v>
      </c>
      <c r="U116" s="7">
        <f>ROUND((0.02*P114*E115*(1-H114)*(1-I114)),4)</f>
        <v>9.3399999999999997E-2</v>
      </c>
      <c r="V116" s="286"/>
      <c r="W116" s="286"/>
    </row>
    <row r="117" spans="1:23" x14ac:dyDescent="0.25">
      <c r="A117" s="503"/>
      <c r="B117" s="11"/>
      <c r="C117" s="8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7"/>
      <c r="P117" s="11"/>
      <c r="Q117" s="9" t="s">
        <v>61</v>
      </c>
      <c r="R117" s="7" t="s">
        <v>62</v>
      </c>
      <c r="S117" s="11"/>
      <c r="T117" s="7">
        <f>ROUND((O114*D114*G114*(1-S117)),4)</f>
        <v>1.32E-2</v>
      </c>
      <c r="U117" s="7">
        <f>ROUND((P114*D114*G114*(1-S117)),4)</f>
        <v>9.4999999999999998E-3</v>
      </c>
      <c r="V117" s="286"/>
      <c r="W117" s="286"/>
    </row>
    <row r="118" spans="1:23" x14ac:dyDescent="0.25">
      <c r="A118" s="504"/>
      <c r="B118" s="14"/>
      <c r="C118" s="13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6"/>
      <c r="P118" s="14"/>
      <c r="Q118" s="15" t="s">
        <v>65</v>
      </c>
      <c r="R118" s="16" t="s">
        <v>66</v>
      </c>
      <c r="S118" s="14"/>
      <c r="T118" s="16">
        <f>ROUND((0.001*K114*O114*(1-N114/100)*(1-0)),4)</f>
        <v>1.8326</v>
      </c>
      <c r="U118" s="16">
        <f>ROUND((0.001*K114*P114*(1-N114/100)*(1-0)),4)</f>
        <v>1.3244</v>
      </c>
      <c r="V118" s="848">
        <f>SUM(T114:T118)</f>
        <v>2.4994999999999998</v>
      </c>
      <c r="W118" s="848">
        <f>SUM(U114:U118)</f>
        <v>1.8063</v>
      </c>
    </row>
    <row r="119" spans="1:23" x14ac:dyDescent="0.25">
      <c r="A119" s="2" t="s">
        <v>71</v>
      </c>
      <c r="B119" s="3" t="s">
        <v>45</v>
      </c>
      <c r="C119" s="4" t="s">
        <v>46</v>
      </c>
      <c r="D119" s="847">
        <v>0.01</v>
      </c>
      <c r="E119" s="847">
        <v>0.05</v>
      </c>
      <c r="F119" s="3">
        <v>42.75</v>
      </c>
      <c r="G119" s="3">
        <v>0.01</v>
      </c>
      <c r="H119" s="3">
        <v>0.02</v>
      </c>
      <c r="I119" s="3" t="s">
        <v>47</v>
      </c>
      <c r="J119" s="3">
        <v>0.1</v>
      </c>
      <c r="K119" s="3">
        <f>ROUND((M119*L119*F119),3)</f>
        <v>13.894</v>
      </c>
      <c r="L119" s="3">
        <v>0.65</v>
      </c>
      <c r="M119" s="3">
        <v>0.5</v>
      </c>
      <c r="N119" s="3">
        <v>0</v>
      </c>
      <c r="O119" s="3">
        <v>131.9</v>
      </c>
      <c r="P119" s="3">
        <v>95.32</v>
      </c>
      <c r="Q119" s="5" t="s">
        <v>48</v>
      </c>
      <c r="R119" s="3" t="s">
        <v>49</v>
      </c>
      <c r="S119" s="6"/>
      <c r="T119" s="3">
        <f>ROUND((((0.001*O119*F119*J119*(1-0))*0.8)),4)</f>
        <v>0.4511</v>
      </c>
      <c r="U119" s="3">
        <f>ROUND((((0.001*P119*F119*J119*(1-0))*0.8)),4)</f>
        <v>0.32600000000000001</v>
      </c>
      <c r="V119" s="286"/>
      <c r="W119" s="286"/>
    </row>
    <row r="120" spans="1:23" x14ac:dyDescent="0.25">
      <c r="A120" s="502"/>
      <c r="B120" s="7" t="s">
        <v>50</v>
      </c>
      <c r="C120" s="8"/>
      <c r="D120" s="7">
        <v>0.01</v>
      </c>
      <c r="E120" s="7">
        <v>0.05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9" t="s">
        <v>51</v>
      </c>
      <c r="R120" s="10" t="s">
        <v>52</v>
      </c>
      <c r="S120" s="11"/>
      <c r="T120" s="7">
        <f>ROUND(((0.001*O119*F119*J119*(1-0))*0.13),4)</f>
        <v>7.3300000000000004E-2</v>
      </c>
      <c r="U120" s="7">
        <f>ROUND((((0.001*P119*F119*J119*(1-0))*0.13)),4)</f>
        <v>5.2999999999999999E-2</v>
      </c>
      <c r="V120" s="286"/>
      <c r="W120" s="286"/>
    </row>
    <row r="121" spans="1:23" x14ac:dyDescent="0.25">
      <c r="A121" s="503"/>
      <c r="B121" s="11" t="s">
        <v>55</v>
      </c>
      <c r="C121" s="8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7"/>
      <c r="P121" s="11"/>
      <c r="Q121" s="9" t="s">
        <v>56</v>
      </c>
      <c r="R121" s="7" t="s">
        <v>57</v>
      </c>
      <c r="S121" s="11"/>
      <c r="T121" s="7">
        <f>ROUND((0.02*O119*E119*(1-H119)*(1-I119)),4)</f>
        <v>0.1293</v>
      </c>
      <c r="U121" s="7">
        <f>ROUND((0.02*P119*E120*(1-H119)*(1-I119)),4)</f>
        <v>9.3399999999999997E-2</v>
      </c>
      <c r="V121" s="286"/>
      <c r="W121" s="286"/>
    </row>
    <row r="122" spans="1:23" x14ac:dyDescent="0.25">
      <c r="A122" s="503"/>
      <c r="B122" s="11"/>
      <c r="C122" s="8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7"/>
      <c r="P122" s="11"/>
      <c r="Q122" s="9" t="s">
        <v>61</v>
      </c>
      <c r="R122" s="7" t="s">
        <v>62</v>
      </c>
      <c r="S122" s="11"/>
      <c r="T122" s="7">
        <f>ROUND((O119*D119*G119*(1-S122)),4)</f>
        <v>1.32E-2</v>
      </c>
      <c r="U122" s="7">
        <f>ROUND((P119*D119*G119*(1-S122)),4)</f>
        <v>9.4999999999999998E-3</v>
      </c>
      <c r="V122" s="286"/>
      <c r="W122" s="286"/>
    </row>
    <row r="123" spans="1:23" x14ac:dyDescent="0.25">
      <c r="A123" s="504"/>
      <c r="B123" s="14"/>
      <c r="C123" s="13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6"/>
      <c r="P123" s="14"/>
      <c r="Q123" s="15" t="s">
        <v>65</v>
      </c>
      <c r="R123" s="16" t="s">
        <v>66</v>
      </c>
      <c r="S123" s="14"/>
      <c r="T123" s="16">
        <f>ROUND((0.001*K119*O119*(1-N119/100)*(1-0)),4)</f>
        <v>1.8326</v>
      </c>
      <c r="U123" s="16">
        <f>ROUND((0.001*K119*P119*(1-N119/100)*(1-0)),4)</f>
        <v>1.3244</v>
      </c>
      <c r="V123" s="848">
        <f>SUM(T119:T123)</f>
        <v>2.4994999999999998</v>
      </c>
      <c r="W123" s="848">
        <f>SUM(U119:U123)</f>
        <v>1.8063</v>
      </c>
    </row>
    <row r="124" spans="1:23" x14ac:dyDescent="0.25">
      <c r="A124" s="2" t="s">
        <v>72</v>
      </c>
      <c r="B124" s="3" t="s">
        <v>45</v>
      </c>
      <c r="C124" s="4" t="s">
        <v>46</v>
      </c>
      <c r="D124" s="847">
        <v>0.01</v>
      </c>
      <c r="E124" s="847">
        <v>0.05</v>
      </c>
      <c r="F124" s="3">
        <v>42.75</v>
      </c>
      <c r="G124" s="3">
        <v>0.01</v>
      </c>
      <c r="H124" s="3">
        <v>0.02</v>
      </c>
      <c r="I124" s="3" t="s">
        <v>47</v>
      </c>
      <c r="J124" s="3">
        <v>0.09</v>
      </c>
      <c r="K124" s="3">
        <f>ROUND((M124*L124*F124),3)</f>
        <v>13.894</v>
      </c>
      <c r="L124" s="3">
        <v>0.65</v>
      </c>
      <c r="M124" s="3">
        <v>0.5</v>
      </c>
      <c r="N124" s="3">
        <v>0</v>
      </c>
      <c r="O124" s="3">
        <v>38.6</v>
      </c>
      <c r="P124" s="3">
        <v>95.32</v>
      </c>
      <c r="Q124" s="5" t="s">
        <v>48</v>
      </c>
      <c r="R124" s="3" t="s">
        <v>49</v>
      </c>
      <c r="S124" s="6"/>
      <c r="T124" s="3">
        <f>ROUND((((0.001*O124*F124*J124*(1-0))*0.8)),4)</f>
        <v>0.1188</v>
      </c>
      <c r="U124" s="3">
        <f>ROUND((((0.001*P124*F124*J124*(1-0))*0.8)),4)</f>
        <v>0.29339999999999999</v>
      </c>
      <c r="V124" s="286"/>
      <c r="W124" s="286"/>
    </row>
    <row r="125" spans="1:23" x14ac:dyDescent="0.25">
      <c r="A125" s="502"/>
      <c r="B125" s="7" t="s">
        <v>50</v>
      </c>
      <c r="C125" s="8"/>
      <c r="D125" s="7">
        <v>0.01</v>
      </c>
      <c r="E125" s="7">
        <v>0.05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9" t="s">
        <v>51</v>
      </c>
      <c r="R125" s="10" t="s">
        <v>52</v>
      </c>
      <c r="S125" s="11"/>
      <c r="T125" s="7">
        <f>ROUND(((0.001*O124*F124*J124*(1-0))*0.13),4)</f>
        <v>1.9300000000000001E-2</v>
      </c>
      <c r="U125" s="7">
        <f>ROUND((((0.001*P124*F124*J124*(1-0))*0.13)),4)</f>
        <v>4.7699999999999999E-2</v>
      </c>
      <c r="V125" s="286"/>
      <c r="W125" s="286"/>
    </row>
    <row r="126" spans="1:23" x14ac:dyDescent="0.25">
      <c r="A126" s="503"/>
      <c r="B126" s="11" t="s">
        <v>74</v>
      </c>
      <c r="C126" s="8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7"/>
      <c r="P126" s="11"/>
      <c r="Q126" s="9" t="s">
        <v>56</v>
      </c>
      <c r="R126" s="7" t="s">
        <v>57</v>
      </c>
      <c r="S126" s="11"/>
      <c r="T126" s="7">
        <f>ROUND((0.02*O124*E124*(1-H124)*(1-I124)),4)</f>
        <v>3.78E-2</v>
      </c>
      <c r="U126" s="7">
        <f>ROUND((0.02*P124*E125*(1-H124)*(1-I124)),4)</f>
        <v>9.3399999999999997E-2</v>
      </c>
      <c r="V126" s="286"/>
      <c r="W126" s="286"/>
    </row>
    <row r="127" spans="1:23" x14ac:dyDescent="0.25">
      <c r="A127" s="503"/>
      <c r="B127" s="11"/>
      <c r="C127" s="8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7"/>
      <c r="P127" s="11"/>
      <c r="Q127" s="9" t="s">
        <v>61</v>
      </c>
      <c r="R127" s="7" t="s">
        <v>62</v>
      </c>
      <c r="S127" s="11"/>
      <c r="T127" s="7">
        <f>ROUND((O124*D124*G124*(1-S127)),4)</f>
        <v>3.8999999999999998E-3</v>
      </c>
      <c r="U127" s="7">
        <f>ROUND((P124*D124*G124*(1-S127)),4)</f>
        <v>9.4999999999999998E-3</v>
      </c>
      <c r="V127" s="286"/>
      <c r="W127" s="286"/>
    </row>
    <row r="128" spans="1:23" x14ac:dyDescent="0.25">
      <c r="A128" s="504"/>
      <c r="B128" s="14"/>
      <c r="C128" s="13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6"/>
      <c r="P128" s="14"/>
      <c r="Q128" s="15" t="s">
        <v>65</v>
      </c>
      <c r="R128" s="16" t="s">
        <v>66</v>
      </c>
      <c r="S128" s="14"/>
      <c r="T128" s="16">
        <f>ROUND((0.001*K124*O124*(1-N124/100)*(1-0)),4)</f>
        <v>0.5363</v>
      </c>
      <c r="U128" s="16">
        <f>ROUND((0.001*K124*P124*(1-N124/100)*(1-0)),4)</f>
        <v>1.3244</v>
      </c>
      <c r="V128" s="848">
        <f>SUM(T124:T128)</f>
        <v>0.71609999999999996</v>
      </c>
      <c r="W128" s="848">
        <f>SUM(U124:U128)</f>
        <v>1.7684</v>
      </c>
    </row>
    <row r="129" spans="1:26" x14ac:dyDescent="0.25">
      <c r="A129" s="2" t="s">
        <v>1407</v>
      </c>
      <c r="B129" s="3" t="s">
        <v>1408</v>
      </c>
      <c r="C129" s="4" t="s">
        <v>46</v>
      </c>
      <c r="D129" s="847">
        <v>0.01</v>
      </c>
      <c r="E129" s="847">
        <v>0.05</v>
      </c>
      <c r="F129" s="3">
        <v>42.75</v>
      </c>
      <c r="G129" s="3">
        <v>0.01</v>
      </c>
      <c r="H129" s="3">
        <v>0.02</v>
      </c>
      <c r="I129" s="3" t="s">
        <v>47</v>
      </c>
      <c r="J129" s="3">
        <v>0.1</v>
      </c>
      <c r="K129" s="3">
        <f>ROUND((M129*L129*F129),3)</f>
        <v>13.894</v>
      </c>
      <c r="L129" s="3">
        <v>0.65</v>
      </c>
      <c r="M129" s="3">
        <v>0.5</v>
      </c>
      <c r="N129" s="3">
        <v>0</v>
      </c>
      <c r="O129" s="3">
        <v>780.1</v>
      </c>
      <c r="P129" s="3">
        <v>67.400000000000006</v>
      </c>
      <c r="Q129" s="5" t="s">
        <v>48</v>
      </c>
      <c r="R129" s="3" t="s">
        <v>49</v>
      </c>
      <c r="S129" s="6"/>
      <c r="T129" s="3">
        <f>ROUND((((0.001*O129*F129*J129*(1-0))*0.8)),4)</f>
        <v>2.6678999999999999</v>
      </c>
      <c r="U129" s="3">
        <f>ROUND((((0.001*P129*F129*J129*(1-0))*0.8)),4)</f>
        <v>0.23050000000000001</v>
      </c>
      <c r="V129" s="286"/>
      <c r="W129" s="286" t="s">
        <v>1410</v>
      </c>
      <c r="Z129">
        <f>P104+P109+P114+P119+P124</f>
        <v>476.59999999999997</v>
      </c>
    </row>
    <row r="130" spans="1:26" x14ac:dyDescent="0.25">
      <c r="A130" s="502"/>
      <c r="B130" s="7" t="s">
        <v>1409</v>
      </c>
      <c r="C130" s="8"/>
      <c r="D130" s="7">
        <v>0.01</v>
      </c>
      <c r="E130" s="7">
        <v>0.05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9" t="s">
        <v>51</v>
      </c>
      <c r="R130" s="10" t="s">
        <v>52</v>
      </c>
      <c r="S130" s="11"/>
      <c r="T130" s="7">
        <f>ROUND(((0.001*O129*F129*J129*(1-0))*0.13),4)</f>
        <v>0.4335</v>
      </c>
      <c r="U130" s="7">
        <f>ROUND((((0.001*P129*F129*J129*(1-0))*0.13)),4)</f>
        <v>3.7499999999999999E-2</v>
      </c>
      <c r="V130" s="286"/>
      <c r="W130" s="286"/>
    </row>
    <row r="131" spans="1:26" x14ac:dyDescent="0.25">
      <c r="A131" s="503"/>
      <c r="B131" s="7" t="s">
        <v>1413</v>
      </c>
      <c r="C131" s="8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7"/>
      <c r="P131" s="11"/>
      <c r="Q131" s="9" t="s">
        <v>56</v>
      </c>
      <c r="R131" s="7" t="s">
        <v>57</v>
      </c>
      <c r="S131" s="11"/>
      <c r="T131" s="7">
        <f>ROUND((0.02*O129*E129*(1-H129)*(1-I129)),4)</f>
        <v>0.76449999999999996</v>
      </c>
      <c r="U131" s="7">
        <f>ROUND((0.02*P129*E130*(1-H129)*(1-I129)),4)</f>
        <v>6.6100000000000006E-2</v>
      </c>
      <c r="V131" s="286"/>
      <c r="W131" s="286"/>
    </row>
    <row r="132" spans="1:26" x14ac:dyDescent="0.25">
      <c r="A132" s="503"/>
      <c r="B132" s="11"/>
      <c r="C132" s="8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7"/>
      <c r="P132" s="11"/>
      <c r="Q132" s="9" t="s">
        <v>61</v>
      </c>
      <c r="R132" s="7" t="s">
        <v>62</v>
      </c>
      <c r="S132" s="11"/>
      <c r="T132" s="7">
        <f>ROUND((O129*D129*G129*(1-S132)),4)</f>
        <v>7.8E-2</v>
      </c>
      <c r="U132" s="7">
        <f>ROUND((P129*D129*G129*(1-S132)),4)</f>
        <v>6.7000000000000002E-3</v>
      </c>
      <c r="V132" s="286"/>
      <c r="W132" s="286"/>
    </row>
    <row r="133" spans="1:26" x14ac:dyDescent="0.25">
      <c r="A133" s="504"/>
      <c r="B133" s="14"/>
      <c r="C133" s="13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6"/>
      <c r="P133" s="14"/>
      <c r="Q133" s="15" t="s">
        <v>65</v>
      </c>
      <c r="R133" s="16" t="s">
        <v>66</v>
      </c>
      <c r="S133" s="14"/>
      <c r="T133" s="16">
        <f>ROUND((0.001*K129*O129*(1-N129/100)*(1-0)),4)</f>
        <v>10.838699999999999</v>
      </c>
      <c r="U133" s="16">
        <f>ROUND((0.001*K129*P129*(1-N129/100)*(1-0)),4)</f>
        <v>0.9365</v>
      </c>
      <c r="V133" s="848">
        <f>SUM(T129:T133)</f>
        <v>14.782599999999999</v>
      </c>
      <c r="W133" s="848">
        <f>SUM(U129:U133)</f>
        <v>1.2772999999999999</v>
      </c>
    </row>
    <row r="134" spans="1:26" x14ac:dyDescent="0.25">
      <c r="A134" s="61" t="s">
        <v>1414</v>
      </c>
      <c r="V134" s="851">
        <f>SUM(V108:V133)</f>
        <v>25.496699999999997</v>
      </c>
      <c r="W134" s="851">
        <f>SUM(W108:W133)</f>
        <v>10.270900000000001</v>
      </c>
    </row>
  </sheetData>
  <mergeCells count="55">
    <mergeCell ref="A65:U65"/>
    <mergeCell ref="A58:U58"/>
    <mergeCell ref="A59:U59"/>
    <mergeCell ref="A60:U60"/>
    <mergeCell ref="A62:U62"/>
    <mergeCell ref="A63:U63"/>
    <mergeCell ref="A52:O52"/>
    <mergeCell ref="A53:O53"/>
    <mergeCell ref="A54:S54"/>
    <mergeCell ref="A55:X55"/>
    <mergeCell ref="A56:O56"/>
    <mergeCell ref="A43:S43"/>
    <mergeCell ref="A45:U45"/>
    <mergeCell ref="A47:U47"/>
    <mergeCell ref="A49:U49"/>
    <mergeCell ref="A51:U51"/>
    <mergeCell ref="A38:O38"/>
    <mergeCell ref="A39:O39"/>
    <mergeCell ref="A40:S40"/>
    <mergeCell ref="A42:O42"/>
    <mergeCell ref="A41:U41"/>
    <mergeCell ref="A30:O30"/>
    <mergeCell ref="A32:U32"/>
    <mergeCell ref="A34:T34"/>
    <mergeCell ref="A36:U36"/>
    <mergeCell ref="A37:U37"/>
    <mergeCell ref="A24:U24"/>
    <mergeCell ref="A26:O26"/>
    <mergeCell ref="A27:O27"/>
    <mergeCell ref="A28:S28"/>
    <mergeCell ref="A29:S29"/>
    <mergeCell ref="A16:S16"/>
    <mergeCell ref="A17:S17"/>
    <mergeCell ref="A18:S18"/>
    <mergeCell ref="A20:U20"/>
    <mergeCell ref="A22:T22"/>
    <mergeCell ref="A8:U8"/>
    <mergeCell ref="A10:T10"/>
    <mergeCell ref="A12:U12"/>
    <mergeCell ref="A14:O14"/>
    <mergeCell ref="A15:O15"/>
    <mergeCell ref="A1:X1"/>
    <mergeCell ref="A3:O3"/>
    <mergeCell ref="A4:X4"/>
    <mergeCell ref="A5:U5"/>
    <mergeCell ref="A6:U6"/>
    <mergeCell ref="A103:S103"/>
    <mergeCell ref="A71:U71"/>
    <mergeCell ref="A68:A69"/>
    <mergeCell ref="B68:B69"/>
    <mergeCell ref="C68:F68"/>
    <mergeCell ref="O68:P68"/>
    <mergeCell ref="S68:S69"/>
    <mergeCell ref="T68:U68"/>
    <mergeCell ref="A97:S97"/>
  </mergeCells>
  <pageMargins left="0.31496062992125984" right="0.31496062992125984" top="0.78740157480314965" bottom="0.39370078740157483" header="0.31496062992125984" footer="0.19685039370078741"/>
  <pageSetup paperSize="9" scale="97" firstPageNumber="16" orientation="landscape" useFirstPageNumber="1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/>
  </sheetPr>
  <dimension ref="A1:AA42"/>
  <sheetViews>
    <sheetView view="pageBreakPreview" topLeftCell="A19" zoomScale="85" zoomScaleNormal="100" zoomScaleSheetLayoutView="85" workbookViewId="0">
      <selection activeCell="X35" sqref="X35"/>
    </sheetView>
  </sheetViews>
  <sheetFormatPr defaultRowHeight="15" x14ac:dyDescent="0.25"/>
  <cols>
    <col min="1" max="1" width="5.28515625" customWidth="1"/>
    <col min="2" max="3" width="5.85546875" customWidth="1"/>
    <col min="4" max="4" width="3.85546875" customWidth="1"/>
    <col min="5" max="5" width="5" customWidth="1"/>
    <col min="6" max="6" width="13.5703125" customWidth="1"/>
    <col min="7" max="7" width="5.85546875" customWidth="1"/>
    <col min="8" max="8" width="7.85546875" customWidth="1"/>
    <col min="9" max="9" width="8.42578125" customWidth="1"/>
    <col min="10" max="10" width="4.42578125" customWidth="1"/>
    <col min="11" max="11" width="4.7109375" customWidth="1"/>
    <col min="12" max="12" width="5.5703125" customWidth="1"/>
    <col min="13" max="13" width="4.85546875" customWidth="1"/>
    <col min="14" max="14" width="6.7109375" customWidth="1"/>
    <col min="15" max="15" width="5.42578125" customWidth="1"/>
    <col min="16" max="16" width="3.28515625" customWidth="1"/>
    <col min="17" max="17" width="12.28515625" customWidth="1"/>
    <col min="18" max="18" width="5.140625" customWidth="1"/>
    <col min="19" max="19" width="6.5703125" customWidth="1"/>
    <col min="20" max="20" width="10" customWidth="1"/>
    <col min="21" max="21" width="9.7109375" customWidth="1"/>
    <col min="22" max="23" width="8.42578125" style="253" customWidth="1"/>
  </cols>
  <sheetData>
    <row r="1" spans="1:23" s="197" customFormat="1" ht="33" customHeight="1" x14ac:dyDescent="0.25">
      <c r="A1" s="1042" t="s">
        <v>850</v>
      </c>
      <c r="B1" s="1042"/>
      <c r="C1" s="1042"/>
      <c r="D1" s="1042"/>
      <c r="E1" s="1042"/>
      <c r="F1" s="1042"/>
      <c r="G1" s="1042"/>
      <c r="H1" s="1042"/>
      <c r="I1" s="1042"/>
      <c r="J1" s="1042"/>
      <c r="K1" s="1042"/>
      <c r="L1" s="1042"/>
      <c r="M1" s="1042"/>
      <c r="N1" s="1042"/>
      <c r="O1" s="1042"/>
      <c r="P1" s="1042"/>
      <c r="Q1" s="1042"/>
      <c r="R1" s="1042"/>
      <c r="S1" s="1042"/>
      <c r="V1" s="852"/>
      <c r="W1" s="852"/>
    </row>
    <row r="2" spans="1:23" s="197" customFormat="1" ht="7.5" customHeight="1" x14ac:dyDescent="0.25">
      <c r="A2" s="181"/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V2" s="852"/>
      <c r="W2" s="852"/>
    </row>
    <row r="3" spans="1:23" s="198" customFormat="1" ht="14.25" customHeight="1" x14ac:dyDescent="0.25">
      <c r="A3" s="1065" t="s">
        <v>796</v>
      </c>
      <c r="B3" s="1065"/>
      <c r="C3" s="1065"/>
      <c r="D3" s="1065"/>
      <c r="E3" s="1065"/>
      <c r="F3" s="1065"/>
      <c r="G3" s="1065"/>
      <c r="H3" s="1065"/>
      <c r="I3" s="1065"/>
      <c r="J3" s="1065"/>
      <c r="K3" s="1065"/>
      <c r="L3" s="1065"/>
      <c r="M3" s="1065"/>
      <c r="N3" s="1065"/>
      <c r="O3" s="186"/>
      <c r="V3" s="186"/>
      <c r="W3" s="186"/>
    </row>
    <row r="4" spans="1:23" s="198" customFormat="1" ht="30" customHeight="1" x14ac:dyDescent="0.25">
      <c r="A4" s="1066" t="s">
        <v>832</v>
      </c>
      <c r="B4" s="1066"/>
      <c r="C4" s="1066"/>
      <c r="D4" s="1066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86"/>
      <c r="W4" s="186"/>
    </row>
    <row r="5" spans="1:23" s="197" customFormat="1" x14ac:dyDescent="0.25">
      <c r="K5" s="199"/>
      <c r="V5" s="852"/>
      <c r="W5" s="852"/>
    </row>
    <row r="6" spans="1:23" s="197" customFormat="1" ht="57.75" customHeight="1" x14ac:dyDescent="0.25">
      <c r="A6" s="1043" t="s">
        <v>838</v>
      </c>
      <c r="B6" s="1043"/>
      <c r="C6" s="1043"/>
      <c r="D6" s="1043"/>
      <c r="E6" s="1043"/>
      <c r="F6" s="1043"/>
      <c r="G6" s="1043"/>
      <c r="H6" s="1043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43"/>
      <c r="T6" s="1043"/>
      <c r="U6" s="1043"/>
      <c r="V6" s="852"/>
      <c r="W6" s="852"/>
    </row>
    <row r="7" spans="1:23" s="197" customFormat="1" ht="12" customHeight="1" x14ac:dyDescent="0.25">
      <c r="A7" s="183"/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V7" s="852"/>
      <c r="W7" s="852"/>
    </row>
    <row r="8" spans="1:23" s="197" customFormat="1" ht="19.5" customHeight="1" x14ac:dyDescent="0.25">
      <c r="A8" s="1042" t="s">
        <v>839</v>
      </c>
      <c r="B8" s="1042"/>
      <c r="C8" s="1042"/>
      <c r="D8" s="1042"/>
      <c r="E8" s="1042"/>
      <c r="F8" s="1042"/>
      <c r="G8" s="1042"/>
      <c r="H8" s="1042"/>
      <c r="I8" s="1042"/>
      <c r="J8" s="1042"/>
      <c r="K8" s="1042"/>
      <c r="L8" s="1042"/>
      <c r="M8" s="1042"/>
      <c r="N8" s="1042"/>
      <c r="O8" s="1042"/>
      <c r="P8" s="1042"/>
      <c r="Q8" s="1042"/>
      <c r="R8" s="1042"/>
      <c r="V8" s="852"/>
      <c r="W8" s="852"/>
    </row>
    <row r="9" spans="1:23" s="200" customFormat="1" ht="17.25" customHeight="1" x14ac:dyDescent="0.25">
      <c r="A9" s="1043" t="s">
        <v>840</v>
      </c>
      <c r="B9" s="1043"/>
      <c r="C9" s="1043"/>
      <c r="D9" s="1043"/>
      <c r="E9" s="1043"/>
      <c r="F9" s="1043"/>
      <c r="G9" s="1043"/>
      <c r="H9" s="1043"/>
      <c r="I9" s="1043"/>
      <c r="J9" s="1043"/>
      <c r="K9" s="1043"/>
      <c r="L9" s="1043"/>
      <c r="M9" s="1043"/>
      <c r="N9" s="1043"/>
      <c r="O9" s="1043"/>
      <c r="P9" s="1043"/>
      <c r="Q9" s="1043"/>
      <c r="R9" s="1043"/>
      <c r="S9" s="1043"/>
      <c r="V9" s="288"/>
      <c r="W9" s="288"/>
    </row>
    <row r="10" spans="1:23" s="197" customFormat="1" ht="23.25" customHeight="1" x14ac:dyDescent="0.25">
      <c r="A10" s="1042" t="s">
        <v>841</v>
      </c>
      <c r="B10" s="1042"/>
      <c r="C10" s="1042"/>
      <c r="D10" s="1042"/>
      <c r="E10" s="1042"/>
      <c r="F10" s="1042"/>
      <c r="G10" s="1042"/>
      <c r="H10" s="1042"/>
      <c r="I10" s="1042"/>
      <c r="J10" s="1042"/>
      <c r="K10" s="1042"/>
      <c r="L10" s="1042"/>
      <c r="M10" s="1042"/>
      <c r="N10" s="1042"/>
      <c r="O10" s="1042"/>
      <c r="P10" s="1042"/>
      <c r="Q10" s="1042"/>
      <c r="R10" s="1042"/>
      <c r="S10" s="1042"/>
      <c r="V10" s="852"/>
      <c r="W10" s="852"/>
    </row>
    <row r="11" spans="1:23" s="197" customFormat="1" ht="23.25" customHeight="1" x14ac:dyDescent="0.25">
      <c r="A11" s="1042" t="s">
        <v>842</v>
      </c>
      <c r="B11" s="1042"/>
      <c r="C11" s="1042"/>
      <c r="D11" s="1042"/>
      <c r="E11" s="1042"/>
      <c r="F11" s="1042"/>
      <c r="G11" s="1042"/>
      <c r="H11" s="1042"/>
      <c r="I11" s="1042"/>
      <c r="J11" s="1042"/>
      <c r="K11" s="1042"/>
      <c r="L11" s="1042"/>
      <c r="M11" s="1042"/>
      <c r="N11" s="1042"/>
      <c r="O11" s="1042"/>
      <c r="P11" s="1042"/>
      <c r="Q11" s="1042"/>
      <c r="R11" s="1042"/>
      <c r="S11" s="1042"/>
      <c r="V11" s="852"/>
      <c r="W11" s="852"/>
    </row>
    <row r="12" spans="1:23" s="191" customFormat="1" ht="15.75" x14ac:dyDescent="0.25">
      <c r="A12" s="188" t="s">
        <v>833</v>
      </c>
      <c r="K12" s="188"/>
      <c r="V12" s="289"/>
      <c r="W12" s="289"/>
    </row>
    <row r="13" spans="1:23" s="191" customFormat="1" ht="38.25" customHeight="1" x14ac:dyDescent="0.25">
      <c r="A13" s="1038" t="s">
        <v>843</v>
      </c>
      <c r="B13" s="1038"/>
      <c r="C13" s="1038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8"/>
      <c r="O13" s="1038"/>
      <c r="P13" s="1038"/>
      <c r="Q13" s="1038"/>
      <c r="R13" s="1038"/>
      <c r="S13" s="1038"/>
      <c r="T13" s="1038"/>
      <c r="U13" s="1038"/>
      <c r="V13" s="289"/>
      <c r="W13" s="289"/>
    </row>
    <row r="14" spans="1:23" s="191" customFormat="1" ht="32.25" customHeight="1" x14ac:dyDescent="0.25">
      <c r="A14" s="1038" t="s">
        <v>844</v>
      </c>
      <c r="B14" s="1038"/>
      <c r="C14" s="1038"/>
      <c r="D14" s="1038"/>
      <c r="E14" s="1038"/>
      <c r="F14" s="1038"/>
      <c r="G14" s="1038"/>
      <c r="H14" s="1038"/>
      <c r="I14" s="1038"/>
      <c r="J14" s="1038"/>
      <c r="K14" s="1038"/>
      <c r="L14" s="1038"/>
      <c r="M14" s="1038"/>
      <c r="N14" s="1038"/>
      <c r="O14" s="1038"/>
      <c r="P14" s="1038"/>
      <c r="Q14" s="1038"/>
      <c r="R14" s="1038"/>
      <c r="S14" s="1038"/>
      <c r="T14" s="1038"/>
      <c r="U14" s="1038"/>
      <c r="V14" s="289"/>
      <c r="W14" s="289"/>
    </row>
    <row r="15" spans="1:23" s="191" customFormat="1" ht="18" customHeight="1" x14ac:dyDescent="0.25">
      <c r="A15" s="1038" t="s">
        <v>846</v>
      </c>
      <c r="B15" s="1038"/>
      <c r="C15" s="1038"/>
      <c r="D15" s="1038"/>
      <c r="E15" s="1038"/>
      <c r="F15" s="1038"/>
      <c r="G15" s="1038"/>
      <c r="H15" s="1038"/>
      <c r="I15" s="1038"/>
      <c r="J15" s="1038"/>
      <c r="K15" s="1038"/>
      <c r="L15" s="1038"/>
      <c r="M15" s="1038"/>
      <c r="N15" s="1038"/>
      <c r="O15" s="1038"/>
      <c r="P15" s="1038"/>
      <c r="Q15" s="1038"/>
      <c r="R15" s="1038"/>
      <c r="S15" s="1038"/>
      <c r="V15" s="289"/>
      <c r="W15" s="289"/>
    </row>
    <row r="16" spans="1:23" s="191" customFormat="1" ht="21.75" customHeight="1" x14ac:dyDescent="0.25">
      <c r="A16" s="1038" t="s">
        <v>845</v>
      </c>
      <c r="B16" s="1038"/>
      <c r="C16" s="1038"/>
      <c r="D16" s="1038"/>
      <c r="E16" s="1038"/>
      <c r="F16" s="1038"/>
      <c r="G16" s="1038"/>
      <c r="H16" s="1038"/>
      <c r="I16" s="1038"/>
      <c r="J16" s="1038"/>
      <c r="K16" s="1038"/>
      <c r="L16" s="1038"/>
      <c r="M16" s="1038"/>
      <c r="N16" s="1038"/>
      <c r="O16" s="1038"/>
      <c r="P16" s="1038"/>
      <c r="Q16" s="1038"/>
      <c r="R16" s="1038"/>
      <c r="S16" s="1038"/>
      <c r="T16" s="1038"/>
      <c r="U16" s="1038"/>
      <c r="V16" s="289"/>
      <c r="W16" s="289"/>
    </row>
    <row r="17" spans="1:23" s="191" customFormat="1" ht="21.75" customHeight="1" x14ac:dyDescent="0.25">
      <c r="A17" s="1038" t="s">
        <v>847</v>
      </c>
      <c r="B17" s="1038"/>
      <c r="C17" s="1038"/>
      <c r="D17" s="1038"/>
      <c r="E17" s="1038"/>
      <c r="F17" s="1038"/>
      <c r="G17" s="1038"/>
      <c r="H17" s="1038"/>
      <c r="I17" s="1038"/>
      <c r="J17" s="1038"/>
      <c r="K17" s="1038"/>
      <c r="L17" s="1038"/>
      <c r="M17" s="1038"/>
      <c r="N17" s="1038"/>
      <c r="O17" s="1038"/>
      <c r="P17" s="1038"/>
      <c r="Q17" s="1038"/>
      <c r="R17" s="1038"/>
      <c r="S17" s="1038"/>
      <c r="V17" s="289"/>
      <c r="W17" s="289"/>
    </row>
    <row r="18" spans="1:23" s="191" customFormat="1" ht="21.75" customHeight="1" x14ac:dyDescent="0.25">
      <c r="A18" s="1038" t="s">
        <v>848</v>
      </c>
      <c r="B18" s="1038"/>
      <c r="C18" s="1038"/>
      <c r="D18" s="1038"/>
      <c r="E18" s="1038"/>
      <c r="F18" s="1038"/>
      <c r="G18" s="1038"/>
      <c r="H18" s="1038"/>
      <c r="I18" s="1038"/>
      <c r="J18" s="1038"/>
      <c r="K18" s="1038"/>
      <c r="L18" s="1038"/>
      <c r="M18" s="1038"/>
      <c r="N18" s="1038"/>
      <c r="O18" s="1038"/>
      <c r="P18" s="1038"/>
      <c r="Q18" s="1038"/>
      <c r="R18" s="1038"/>
      <c r="S18" s="1038"/>
      <c r="V18" s="289"/>
      <c r="W18" s="289"/>
    </row>
    <row r="19" spans="1:23" s="191" customFormat="1" ht="21.75" customHeight="1" x14ac:dyDescent="0.25">
      <c r="A19" s="1038" t="s">
        <v>849</v>
      </c>
      <c r="B19" s="1038"/>
      <c r="C19" s="1038"/>
      <c r="D19" s="1038"/>
      <c r="E19" s="1038"/>
      <c r="F19" s="1038"/>
      <c r="G19" s="1038"/>
      <c r="H19" s="1038"/>
      <c r="I19" s="1038"/>
      <c r="J19" s="1038"/>
      <c r="K19" s="1038"/>
      <c r="L19" s="1038"/>
      <c r="M19" s="1038"/>
      <c r="N19" s="1038"/>
      <c r="O19" s="1038"/>
      <c r="P19" s="1038"/>
      <c r="Q19" s="1038"/>
      <c r="R19" s="1038"/>
      <c r="S19" s="1038"/>
      <c r="V19" s="289"/>
      <c r="W19" s="289"/>
    </row>
    <row r="20" spans="1:23" s="197" customFormat="1" ht="6.75" customHeight="1" x14ac:dyDescent="0.25">
      <c r="K20" s="199"/>
      <c r="V20" s="852"/>
      <c r="W20" s="852"/>
    </row>
    <row r="21" spans="1:23" s="200" customFormat="1" ht="32.25" customHeight="1" x14ac:dyDescent="0.25">
      <c r="A21" s="1043" t="s">
        <v>852</v>
      </c>
      <c r="B21" s="1043"/>
      <c r="C21" s="1043"/>
      <c r="D21" s="1043"/>
      <c r="E21" s="1043"/>
      <c r="F21" s="1043"/>
      <c r="G21" s="1043"/>
      <c r="H21" s="1043"/>
      <c r="I21" s="1043"/>
      <c r="J21" s="1043"/>
      <c r="K21" s="1043"/>
      <c r="L21" s="1043"/>
      <c r="M21" s="1043"/>
      <c r="N21" s="1043"/>
      <c r="O21" s="1043"/>
      <c r="P21" s="1043"/>
      <c r="Q21" s="1043"/>
      <c r="R21" s="1043"/>
      <c r="S21" s="1043"/>
      <c r="T21" s="1043"/>
      <c r="U21" s="1043"/>
      <c r="V21" s="288"/>
      <c r="W21" s="288"/>
    </row>
    <row r="22" spans="1:23" s="201" customFormat="1" ht="20.25" customHeight="1" x14ac:dyDescent="0.25">
      <c r="A22" s="1043" t="s">
        <v>834</v>
      </c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  <c r="O22" s="1043"/>
      <c r="P22" s="183"/>
      <c r="Q22" s="183"/>
      <c r="V22" s="290"/>
      <c r="W22" s="290"/>
    </row>
    <row r="23" spans="1:23" s="201" customFormat="1" ht="8.25" customHeight="1" x14ac:dyDescent="0.25">
      <c r="A23" s="183"/>
      <c r="B23" s="183"/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V23" s="290"/>
      <c r="W23" s="290"/>
    </row>
    <row r="24" spans="1:23" s="201" customFormat="1" ht="24" customHeight="1" x14ac:dyDescent="0.25">
      <c r="A24" s="1043" t="s">
        <v>835</v>
      </c>
      <c r="B24" s="1043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/>
      <c r="M24" s="1043"/>
      <c r="N24" s="1043"/>
      <c r="O24" s="1043"/>
      <c r="P24" s="183"/>
      <c r="Q24" s="183"/>
      <c r="V24" s="290"/>
      <c r="W24" s="290"/>
    </row>
    <row r="25" spans="1:23" s="191" customFormat="1" ht="14.25" customHeight="1" x14ac:dyDescent="0.25">
      <c r="A25" s="188" t="s">
        <v>833</v>
      </c>
      <c r="K25" s="188"/>
      <c r="V25" s="289"/>
      <c r="W25" s="289"/>
    </row>
    <row r="26" spans="1:23" s="191" customFormat="1" ht="16.5" customHeight="1" x14ac:dyDescent="0.25">
      <c r="A26" s="1038" t="s">
        <v>836</v>
      </c>
      <c r="B26" s="1038"/>
      <c r="C26" s="1038"/>
      <c r="D26" s="1038"/>
      <c r="E26" s="1038"/>
      <c r="F26" s="1038"/>
      <c r="G26" s="1038"/>
      <c r="H26" s="1038"/>
      <c r="I26" s="1038"/>
      <c r="J26" s="1038"/>
      <c r="K26" s="1038"/>
      <c r="L26" s="1038"/>
      <c r="M26" s="1038"/>
      <c r="N26" s="1038"/>
      <c r="O26" s="1038"/>
      <c r="P26" s="188"/>
      <c r="Q26" s="188"/>
      <c r="V26" s="289"/>
      <c r="W26" s="289"/>
    </row>
    <row r="27" spans="1:23" s="197" customFormat="1" ht="23.25" customHeight="1" x14ac:dyDescent="0.25">
      <c r="A27" s="1043" t="s">
        <v>1487</v>
      </c>
      <c r="B27" s="1043"/>
      <c r="C27" s="1043"/>
      <c r="D27" s="1043"/>
      <c r="E27" s="1043"/>
      <c r="F27" s="1043"/>
      <c r="G27" s="1043"/>
      <c r="H27" s="1043"/>
      <c r="I27" s="1043"/>
      <c r="J27" s="1043"/>
      <c r="K27" s="1043"/>
      <c r="L27" s="1043"/>
      <c r="M27" s="1043"/>
      <c r="N27" s="1043"/>
      <c r="O27" s="1043"/>
      <c r="P27" s="1043"/>
      <c r="Q27" s="1043"/>
      <c r="R27" s="1043"/>
      <c r="S27" s="1043"/>
      <c r="T27" s="1043"/>
      <c r="U27" s="1043"/>
      <c r="V27" s="852"/>
      <c r="W27" s="852"/>
    </row>
    <row r="28" spans="1:23" s="197" customFormat="1" ht="21" customHeight="1" x14ac:dyDescent="0.25">
      <c r="A28" s="1064" t="s">
        <v>837</v>
      </c>
      <c r="B28" s="1064"/>
      <c r="C28" s="1064"/>
      <c r="D28" s="1064"/>
      <c r="E28" s="1064"/>
      <c r="F28" s="1064"/>
      <c r="G28" s="1064"/>
      <c r="H28" s="1064"/>
      <c r="I28" s="1064"/>
      <c r="J28" s="1064"/>
      <c r="K28" s="1064"/>
      <c r="L28" s="1064"/>
      <c r="M28" s="1064"/>
      <c r="N28" s="1064"/>
      <c r="O28" s="1064"/>
      <c r="P28" s="202"/>
      <c r="Q28" s="183"/>
      <c r="V28" s="852"/>
      <c r="W28" s="852"/>
    </row>
    <row r="29" spans="1:23" ht="69.75" customHeight="1" x14ac:dyDescent="0.25">
      <c r="A29" s="17" t="s">
        <v>76</v>
      </c>
      <c r="B29" s="17" t="s">
        <v>77</v>
      </c>
      <c r="C29" s="17" t="s">
        <v>78</v>
      </c>
      <c r="D29" s="18" t="s">
        <v>79</v>
      </c>
      <c r="E29" s="17" t="s">
        <v>80</v>
      </c>
      <c r="F29" s="18" t="s">
        <v>81</v>
      </c>
      <c r="G29" s="17" t="s">
        <v>789</v>
      </c>
      <c r="H29" s="18" t="s">
        <v>82</v>
      </c>
      <c r="I29" s="18" t="s">
        <v>83</v>
      </c>
      <c r="J29" s="17" t="s">
        <v>84</v>
      </c>
      <c r="K29" s="17" t="s">
        <v>85</v>
      </c>
      <c r="L29" s="17" t="s">
        <v>86</v>
      </c>
      <c r="M29" s="18" t="s">
        <v>87</v>
      </c>
      <c r="N29" s="18" t="s">
        <v>88</v>
      </c>
      <c r="O29" s="18" t="s">
        <v>89</v>
      </c>
      <c r="P29" s="17" t="s">
        <v>90</v>
      </c>
      <c r="Q29" s="18" t="s">
        <v>20</v>
      </c>
      <c r="R29" s="18" t="s">
        <v>21</v>
      </c>
      <c r="S29" s="18" t="s">
        <v>92</v>
      </c>
      <c r="T29" s="18" t="s">
        <v>93</v>
      </c>
      <c r="U29" s="18" t="s">
        <v>94</v>
      </c>
      <c r="V29" s="291"/>
      <c r="W29" s="291"/>
    </row>
    <row r="30" spans="1:23" x14ac:dyDescent="0.25">
      <c r="A30" s="19" t="s">
        <v>95</v>
      </c>
      <c r="B30" s="19" t="s">
        <v>96</v>
      </c>
      <c r="C30" s="19" t="s">
        <v>24</v>
      </c>
      <c r="D30" s="19" t="s">
        <v>25</v>
      </c>
      <c r="E30" s="19" t="s">
        <v>26</v>
      </c>
      <c r="F30" s="19" t="s">
        <v>27</v>
      </c>
      <c r="G30" s="19" t="s">
        <v>28</v>
      </c>
      <c r="H30" s="19" t="s">
        <v>29</v>
      </c>
      <c r="I30" s="19" t="s">
        <v>30</v>
      </c>
      <c r="J30" s="19" t="s">
        <v>31</v>
      </c>
      <c r="K30" s="19" t="s">
        <v>32</v>
      </c>
      <c r="L30" s="19" t="s">
        <v>33</v>
      </c>
      <c r="M30" s="19" t="s">
        <v>34</v>
      </c>
      <c r="N30" s="19" t="s">
        <v>35</v>
      </c>
      <c r="O30" s="19">
        <v>15</v>
      </c>
      <c r="P30" s="19" t="s">
        <v>37</v>
      </c>
      <c r="Q30" s="19" t="s">
        <v>38</v>
      </c>
      <c r="R30" s="19" t="s">
        <v>39</v>
      </c>
      <c r="S30" s="19" t="s">
        <v>40</v>
      </c>
      <c r="T30" s="20">
        <v>20</v>
      </c>
      <c r="U30" s="20">
        <v>21</v>
      </c>
      <c r="V30" s="853"/>
      <c r="W30" s="853"/>
    </row>
    <row r="31" spans="1:23" x14ac:dyDescent="0.25">
      <c r="A31" s="1044" t="s">
        <v>97</v>
      </c>
      <c r="B31" s="1045"/>
      <c r="C31" s="1045"/>
      <c r="D31" s="1045"/>
      <c r="E31" s="1045"/>
      <c r="F31" s="1045"/>
      <c r="G31" s="1045"/>
      <c r="H31" s="1045"/>
      <c r="I31" s="1045"/>
      <c r="J31" s="1045"/>
      <c r="K31" s="1045"/>
      <c r="L31" s="1045"/>
      <c r="M31" s="1045"/>
      <c r="N31" s="1045"/>
      <c r="O31" s="1045"/>
      <c r="P31" s="1045"/>
      <c r="Q31" s="1045"/>
      <c r="R31" s="1045"/>
      <c r="S31" s="1045"/>
      <c r="T31" s="1045"/>
      <c r="U31" s="1046"/>
      <c r="V31" s="854"/>
      <c r="W31" s="854"/>
    </row>
    <row r="32" spans="1:23" x14ac:dyDescent="0.25">
      <c r="A32" s="1047" t="s">
        <v>43</v>
      </c>
      <c r="B32" s="1048"/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1048"/>
      <c r="O32" s="1048"/>
      <c r="P32" s="1048"/>
      <c r="Q32" s="1048"/>
      <c r="R32" s="1048"/>
      <c r="S32" s="1048"/>
      <c r="T32" s="1048"/>
      <c r="U32" s="1049"/>
      <c r="V32" s="854"/>
      <c r="W32" s="854"/>
    </row>
    <row r="33" spans="1:27" ht="39" customHeight="1" x14ac:dyDescent="0.25">
      <c r="A33" s="1050" t="s">
        <v>98</v>
      </c>
      <c r="B33" s="1052" t="s">
        <v>99</v>
      </c>
      <c r="C33" s="1052" t="s">
        <v>100</v>
      </c>
      <c r="D33" s="1055">
        <v>1</v>
      </c>
      <c r="E33" s="1055">
        <v>100</v>
      </c>
      <c r="F33" s="1055" t="s">
        <v>101</v>
      </c>
      <c r="G33" s="1052" t="s">
        <v>102</v>
      </c>
      <c r="H33" s="1055">
        <v>845.97249999999997</v>
      </c>
      <c r="I33" s="1055">
        <v>845.97249999999997</v>
      </c>
      <c r="J33" s="1055">
        <v>1.9</v>
      </c>
      <c r="K33" s="1055">
        <v>2.6</v>
      </c>
      <c r="L33" s="1055">
        <v>0.19</v>
      </c>
      <c r="M33" s="1055">
        <v>0.22</v>
      </c>
      <c r="N33" s="1055">
        <v>4.9000000000000002E-2</v>
      </c>
      <c r="O33" s="1055">
        <v>3.14</v>
      </c>
      <c r="P33" s="1055">
        <v>50</v>
      </c>
      <c r="Q33" s="42" t="s">
        <v>790</v>
      </c>
      <c r="R33" s="19">
        <v>2754</v>
      </c>
      <c r="S33" s="19" t="s">
        <v>103</v>
      </c>
      <c r="T33" s="19">
        <f>ROUND(((O33*L33*P33/3600)*(S33/100)),5)</f>
        <v>8.26E-3</v>
      </c>
      <c r="U33" s="19">
        <f>ROUND((((J33*H33+K33*I33)*L33/1000000+(M33*N33*D33))*(S33/100)),6)</f>
        <v>1.1471E-2</v>
      </c>
      <c r="V33" s="291"/>
      <c r="W33" s="291"/>
      <c r="X33">
        <f>H33+I33</f>
        <v>1691.9449999999999</v>
      </c>
    </row>
    <row r="34" spans="1:27" ht="24.75" customHeight="1" x14ac:dyDescent="0.25">
      <c r="A34" s="1051"/>
      <c r="B34" s="1053"/>
      <c r="C34" s="1054"/>
      <c r="D34" s="1056"/>
      <c r="E34" s="1056"/>
      <c r="F34" s="1057"/>
      <c r="G34" s="1054"/>
      <c r="H34" s="1056"/>
      <c r="I34" s="1056"/>
      <c r="J34" s="1056"/>
      <c r="K34" s="1056"/>
      <c r="L34" s="1056"/>
      <c r="M34" s="1056"/>
      <c r="N34" s="1056"/>
      <c r="O34" s="1056"/>
      <c r="P34" s="1056"/>
      <c r="Q34" s="23" t="s">
        <v>104</v>
      </c>
      <c r="R34" s="22" t="s">
        <v>105</v>
      </c>
      <c r="S34" s="22" t="s">
        <v>106</v>
      </c>
      <c r="T34" s="22">
        <f>ROUND(((O33*L33*P33/3600)*(S34/100)),6)</f>
        <v>2.3E-5</v>
      </c>
      <c r="U34" s="22">
        <f>ROUND((((J33*H33+K33*I33)*L33/1000000+(M33*N33*D33))*(S34/100)),6)</f>
        <v>3.1999999999999999E-5</v>
      </c>
      <c r="V34" s="291">
        <f>SUM(T33:T34)</f>
        <v>8.2830000000000004E-3</v>
      </c>
      <c r="W34" s="291">
        <f>SUM(U33:U34)</f>
        <v>1.1503000000000001E-2</v>
      </c>
      <c r="X34">
        <f>H35+I35</f>
        <v>1691.9449999999999</v>
      </c>
      <c r="Z34" s="24">
        <f>X33+X34</f>
        <v>3383.89</v>
      </c>
      <c r="AA34" t="s">
        <v>19</v>
      </c>
    </row>
    <row r="35" spans="1:27" ht="36" customHeight="1" x14ac:dyDescent="0.25">
      <c r="A35" s="1050" t="s">
        <v>107</v>
      </c>
      <c r="B35" s="1052" t="s">
        <v>99</v>
      </c>
      <c r="C35" s="1052" t="s">
        <v>100</v>
      </c>
      <c r="D35" s="1055">
        <v>1</v>
      </c>
      <c r="E35" s="1055">
        <v>100</v>
      </c>
      <c r="F35" s="1057"/>
      <c r="G35" s="1052" t="s">
        <v>102</v>
      </c>
      <c r="H35" s="1055">
        <v>845.97249999999997</v>
      </c>
      <c r="I35" s="1055">
        <v>845.97249999999997</v>
      </c>
      <c r="J35" s="1055">
        <v>1.9</v>
      </c>
      <c r="K35" s="1055">
        <v>2.6</v>
      </c>
      <c r="L35" s="1055">
        <v>0.19</v>
      </c>
      <c r="M35" s="1055">
        <v>0.22</v>
      </c>
      <c r="N35" s="1055">
        <v>4.9000000000000002E-2</v>
      </c>
      <c r="O35" s="1055">
        <v>3.14</v>
      </c>
      <c r="P35" s="1055">
        <v>50</v>
      </c>
      <c r="Q35" s="42" t="s">
        <v>790</v>
      </c>
      <c r="R35" s="19">
        <v>2754</v>
      </c>
      <c r="S35" s="19" t="s">
        <v>103</v>
      </c>
      <c r="T35" s="19">
        <f>ROUND(((O35*L35*P35/3600)*(S35/100)),5)</f>
        <v>8.26E-3</v>
      </c>
      <c r="U35" s="19">
        <f>ROUND((((J35*H35+K35*I35)*L35/1000000+(M35*N35*D35))*(S35/100)),6)</f>
        <v>1.1471E-2</v>
      </c>
      <c r="V35" s="291"/>
      <c r="W35" s="291"/>
    </row>
    <row r="36" spans="1:27" ht="27.75" customHeight="1" x14ac:dyDescent="0.25">
      <c r="A36" s="1051"/>
      <c r="B36" s="1053"/>
      <c r="C36" s="1054"/>
      <c r="D36" s="1056"/>
      <c r="E36" s="1056"/>
      <c r="F36" s="1056"/>
      <c r="G36" s="1054"/>
      <c r="H36" s="1056"/>
      <c r="I36" s="1056"/>
      <c r="J36" s="1056"/>
      <c r="K36" s="1056"/>
      <c r="L36" s="1056"/>
      <c r="M36" s="1056"/>
      <c r="N36" s="1056"/>
      <c r="O36" s="1056"/>
      <c r="P36" s="1056"/>
      <c r="Q36" s="23" t="s">
        <v>104</v>
      </c>
      <c r="R36" s="22" t="s">
        <v>105</v>
      </c>
      <c r="S36" s="22" t="s">
        <v>106</v>
      </c>
      <c r="T36" s="22">
        <f>ROUND(((O35*L35*P35/3600)*(S36/100)),6)</f>
        <v>2.3E-5</v>
      </c>
      <c r="U36" s="22">
        <f>ROUND((((J35*H35+K35*I35)*L35/1000000+(M35*N35*D35))*(S36/100)),6)</f>
        <v>3.1999999999999999E-5</v>
      </c>
      <c r="V36" s="291">
        <f>SUM(T35:T36)</f>
        <v>8.2830000000000004E-3</v>
      </c>
      <c r="W36" s="291">
        <f>SUM(U35:U36)</f>
        <v>1.1503000000000001E-2</v>
      </c>
    </row>
    <row r="37" spans="1:27" x14ac:dyDescent="0.25">
      <c r="A37" s="1047" t="s">
        <v>147</v>
      </c>
      <c r="B37" s="1048"/>
      <c r="C37" s="1048"/>
      <c r="D37" s="1048"/>
      <c r="E37" s="1048"/>
      <c r="F37" s="1048"/>
      <c r="G37" s="1048"/>
      <c r="H37" s="1048"/>
      <c r="I37" s="1048"/>
      <c r="J37" s="1048"/>
      <c r="K37" s="1048"/>
      <c r="L37" s="1048"/>
      <c r="M37" s="1048"/>
      <c r="N37" s="1048"/>
      <c r="O37" s="1048"/>
      <c r="P37" s="1048"/>
      <c r="Q37" s="1048"/>
      <c r="R37" s="1048"/>
      <c r="S37" s="1048"/>
      <c r="T37" s="1048"/>
      <c r="U37" s="1049"/>
      <c r="V37" s="851">
        <f>SUM(V33:V36)</f>
        <v>1.6566000000000001E-2</v>
      </c>
      <c r="W37" s="851">
        <f>SUM(W33:W36)</f>
        <v>2.3006000000000002E-2</v>
      </c>
    </row>
    <row r="38" spans="1:27" ht="37.5" customHeight="1" x14ac:dyDescent="0.25">
      <c r="A38" s="1058" t="s">
        <v>98</v>
      </c>
      <c r="B38" s="1033" t="s">
        <v>99</v>
      </c>
      <c r="C38" s="1033" t="s">
        <v>100</v>
      </c>
      <c r="D38" s="1061">
        <v>1</v>
      </c>
      <c r="E38" s="1061">
        <v>100</v>
      </c>
      <c r="F38" s="1061" t="s">
        <v>101</v>
      </c>
      <c r="G38" s="1052" t="s">
        <v>102</v>
      </c>
      <c r="H38" s="1061">
        <v>136</v>
      </c>
      <c r="I38" s="1061">
        <v>136</v>
      </c>
      <c r="J38" s="1061">
        <v>1.9</v>
      </c>
      <c r="K38" s="1061">
        <v>2.6</v>
      </c>
      <c r="L38" s="1061">
        <v>0.19</v>
      </c>
      <c r="M38" s="1061">
        <v>0.22</v>
      </c>
      <c r="N38" s="1061">
        <v>4.9000000000000002E-2</v>
      </c>
      <c r="O38" s="1061">
        <v>3.14</v>
      </c>
      <c r="P38" s="1061">
        <v>50</v>
      </c>
      <c r="Q38" s="42" t="s">
        <v>790</v>
      </c>
      <c r="R38" s="25">
        <v>2754</v>
      </c>
      <c r="S38" s="25" t="s">
        <v>103</v>
      </c>
      <c r="T38" s="25">
        <f>ROUND(((O38*L38*P38/3600)*(S38/100)),5)</f>
        <v>8.26E-3</v>
      </c>
      <c r="U38" s="25">
        <f>ROUND((((J38*H38+K38*I38)*L38/1000000+(M38*N38*D38))*(S38/100)),6)</f>
        <v>1.0866000000000001E-2</v>
      </c>
      <c r="V38" s="291"/>
      <c r="W38" s="291"/>
      <c r="X38">
        <f>H38+I38</f>
        <v>272</v>
      </c>
    </row>
    <row r="39" spans="1:27" ht="30.75" customHeight="1" x14ac:dyDescent="0.25">
      <c r="A39" s="1059"/>
      <c r="B39" s="1034"/>
      <c r="C39" s="1060"/>
      <c r="D39" s="1062"/>
      <c r="E39" s="1062"/>
      <c r="F39" s="1063"/>
      <c r="G39" s="1054"/>
      <c r="H39" s="1062"/>
      <c r="I39" s="1062"/>
      <c r="J39" s="1062"/>
      <c r="K39" s="1062"/>
      <c r="L39" s="1062"/>
      <c r="M39" s="1062"/>
      <c r="N39" s="1062"/>
      <c r="O39" s="1062"/>
      <c r="P39" s="1062"/>
      <c r="Q39" s="23" t="s">
        <v>104</v>
      </c>
      <c r="R39" s="43" t="s">
        <v>105</v>
      </c>
      <c r="S39" s="43" t="s">
        <v>106</v>
      </c>
      <c r="T39" s="43">
        <f>ROUND(((O38*L38*P38/3600)*(S39/100)),6)</f>
        <v>2.3E-5</v>
      </c>
      <c r="U39" s="43">
        <f>ROUND((((J38*H38+K38*I38)*L38/1000000+(M38*N38*D38))*(S39/100)),6)</f>
        <v>3.1000000000000001E-5</v>
      </c>
      <c r="V39" s="291">
        <f>SUM(T38:T39)</f>
        <v>8.2830000000000004E-3</v>
      </c>
      <c r="W39" s="291">
        <f>SUM(U38:U39)</f>
        <v>1.0897E-2</v>
      </c>
      <c r="X39">
        <f>H40+I40</f>
        <v>272</v>
      </c>
      <c r="Z39" s="24">
        <f>X38+X39</f>
        <v>544</v>
      </c>
      <c r="AA39" t="s">
        <v>19</v>
      </c>
    </row>
    <row r="40" spans="1:27" ht="37.5" customHeight="1" x14ac:dyDescent="0.25">
      <c r="A40" s="1058" t="s">
        <v>107</v>
      </c>
      <c r="B40" s="1033" t="s">
        <v>99</v>
      </c>
      <c r="C40" s="1033" t="s">
        <v>100</v>
      </c>
      <c r="D40" s="1061">
        <v>1</v>
      </c>
      <c r="E40" s="1061">
        <v>100</v>
      </c>
      <c r="F40" s="1063"/>
      <c r="G40" s="1052" t="s">
        <v>102</v>
      </c>
      <c r="H40" s="1061">
        <v>136</v>
      </c>
      <c r="I40" s="1061">
        <v>136</v>
      </c>
      <c r="J40" s="1061">
        <v>1.9</v>
      </c>
      <c r="K40" s="1061">
        <v>2.6</v>
      </c>
      <c r="L40" s="1061">
        <v>0.19</v>
      </c>
      <c r="M40" s="1061">
        <v>0.22</v>
      </c>
      <c r="N40" s="1061">
        <v>4.9000000000000002E-2</v>
      </c>
      <c r="O40" s="1061">
        <v>3.14</v>
      </c>
      <c r="P40" s="1061">
        <v>50</v>
      </c>
      <c r="Q40" s="42" t="s">
        <v>790</v>
      </c>
      <c r="R40" s="25">
        <v>2754</v>
      </c>
      <c r="S40" s="25" t="s">
        <v>103</v>
      </c>
      <c r="T40" s="25">
        <f>ROUND(((O40*L40*P40/3600)*(S40/100)),5)</f>
        <v>8.26E-3</v>
      </c>
      <c r="U40" s="25">
        <f>ROUND((((J40*H40+K40*I40)*L40/1000000+(M40*N40*D40))*(S40/100)),6)</f>
        <v>1.0866000000000001E-2</v>
      </c>
      <c r="V40" s="291"/>
      <c r="W40" s="291"/>
    </row>
    <row r="41" spans="1:27" ht="33.75" customHeight="1" x14ac:dyDescent="0.25">
      <c r="A41" s="1059"/>
      <c r="B41" s="1034"/>
      <c r="C41" s="1060"/>
      <c r="D41" s="1062"/>
      <c r="E41" s="1062"/>
      <c r="F41" s="1062"/>
      <c r="G41" s="1054"/>
      <c r="H41" s="1062"/>
      <c r="I41" s="1062"/>
      <c r="J41" s="1062"/>
      <c r="K41" s="1062"/>
      <c r="L41" s="1062"/>
      <c r="M41" s="1062"/>
      <c r="N41" s="1062"/>
      <c r="O41" s="1062"/>
      <c r="P41" s="1062"/>
      <c r="Q41" s="23" t="s">
        <v>104</v>
      </c>
      <c r="R41" s="43" t="s">
        <v>105</v>
      </c>
      <c r="S41" s="43" t="s">
        <v>106</v>
      </c>
      <c r="T41" s="43">
        <f>ROUND(((O40*L40*P40/3600)*(S41/100)),6)</f>
        <v>2.3E-5</v>
      </c>
      <c r="U41" s="43">
        <f>ROUND((((J40*H40+K40*I40)*L40/1000000+(M40*N40*D40))*(S41/100)),6)</f>
        <v>3.1000000000000001E-5</v>
      </c>
      <c r="V41" s="291">
        <f>SUM(T40:T41)</f>
        <v>8.2830000000000004E-3</v>
      </c>
      <c r="W41" s="291">
        <f>SUM(U40:U41)</f>
        <v>1.0897E-2</v>
      </c>
    </row>
    <row r="42" spans="1:27" x14ac:dyDescent="0.25">
      <c r="V42" s="851">
        <f>SUM(V38:V41)</f>
        <v>1.6566000000000001E-2</v>
      </c>
      <c r="W42" s="851">
        <f>SUM(W38:W41)</f>
        <v>2.1794000000000001E-2</v>
      </c>
    </row>
  </sheetData>
  <mergeCells count="86">
    <mergeCell ref="A1:S1"/>
    <mergeCell ref="A8:R8"/>
    <mergeCell ref="A9:S9"/>
    <mergeCell ref="A3:N3"/>
    <mergeCell ref="A4:U4"/>
    <mergeCell ref="A6:U6"/>
    <mergeCell ref="A10:S10"/>
    <mergeCell ref="A11:S11"/>
    <mergeCell ref="A15:S15"/>
    <mergeCell ref="A13:U13"/>
    <mergeCell ref="A14:U14"/>
    <mergeCell ref="A17:S17"/>
    <mergeCell ref="A22:O22"/>
    <mergeCell ref="A24:O24"/>
    <mergeCell ref="A26:O26"/>
    <mergeCell ref="A16:U16"/>
    <mergeCell ref="A28:O28"/>
    <mergeCell ref="A18:S18"/>
    <mergeCell ref="A19:S19"/>
    <mergeCell ref="A21:U21"/>
    <mergeCell ref="A27:U27"/>
    <mergeCell ref="P40:P41"/>
    <mergeCell ref="J40:J41"/>
    <mergeCell ref="K40:K41"/>
    <mergeCell ref="L40:L41"/>
    <mergeCell ref="M40:M41"/>
    <mergeCell ref="N40:N41"/>
    <mergeCell ref="O40:O41"/>
    <mergeCell ref="O38:O39"/>
    <mergeCell ref="P38:P39"/>
    <mergeCell ref="A40:A41"/>
    <mergeCell ref="B40:B41"/>
    <mergeCell ref="C40:C41"/>
    <mergeCell ref="D40:D41"/>
    <mergeCell ref="E40:E41"/>
    <mergeCell ref="G40:G41"/>
    <mergeCell ref="H40:H41"/>
    <mergeCell ref="I40:I41"/>
    <mergeCell ref="I38:I39"/>
    <mergeCell ref="J38:J39"/>
    <mergeCell ref="K38:K39"/>
    <mergeCell ref="L38:L39"/>
    <mergeCell ref="M38:M39"/>
    <mergeCell ref="N38:N39"/>
    <mergeCell ref="P35:P36"/>
    <mergeCell ref="A37:U37"/>
    <mergeCell ref="A38:A39"/>
    <mergeCell ref="B38:B39"/>
    <mergeCell ref="C38:C39"/>
    <mergeCell ref="D38:D39"/>
    <mergeCell ref="E38:E39"/>
    <mergeCell ref="F38:F41"/>
    <mergeCell ref="G38:G39"/>
    <mergeCell ref="H38:H39"/>
    <mergeCell ref="J35:J36"/>
    <mergeCell ref="K35:K36"/>
    <mergeCell ref="L35:L36"/>
    <mergeCell ref="M35:M36"/>
    <mergeCell ref="N35:N36"/>
    <mergeCell ref="O35:O36"/>
    <mergeCell ref="J33:J34"/>
    <mergeCell ref="K33:K34"/>
    <mergeCell ref="L33:L34"/>
    <mergeCell ref="M33:M34"/>
    <mergeCell ref="N33:N34"/>
    <mergeCell ref="E35:E36"/>
    <mergeCell ref="G35:G36"/>
    <mergeCell ref="H35:H36"/>
    <mergeCell ref="I35:I36"/>
    <mergeCell ref="I33:I34"/>
    <mergeCell ref="A31:U31"/>
    <mergeCell ref="A32:U32"/>
    <mergeCell ref="A33:A34"/>
    <mergeCell ref="B33:B34"/>
    <mergeCell ref="C33:C34"/>
    <mergeCell ref="D33:D34"/>
    <mergeCell ref="E33:E34"/>
    <mergeCell ref="F33:F36"/>
    <mergeCell ref="G33:G34"/>
    <mergeCell ref="H33:H34"/>
    <mergeCell ref="O33:O34"/>
    <mergeCell ref="P33:P34"/>
    <mergeCell ref="A35:A36"/>
    <mergeCell ref="B35:B36"/>
    <mergeCell ref="C35:C36"/>
    <mergeCell ref="D35:D36"/>
  </mergeCells>
  <pageMargins left="0.31496062992125984" right="0.31496062992125984" top="0.78740157480314965" bottom="0.39370078740157483" header="0.31496062992125984" footer="0.19685039370078741"/>
  <pageSetup paperSize="9" firstPageNumber="22" orientation="landscape" useFirstPageNumber="1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51"/>
  <sheetViews>
    <sheetView view="pageBreakPreview" topLeftCell="A24" zoomScale="85" zoomScaleNormal="100" zoomScaleSheetLayoutView="85" workbookViewId="0">
      <selection activeCell="C53" sqref="C53"/>
    </sheetView>
  </sheetViews>
  <sheetFormatPr defaultRowHeight="15" x14ac:dyDescent="0.25"/>
  <cols>
    <col min="1" max="1" width="9" customWidth="1"/>
    <col min="2" max="2" width="9.42578125" customWidth="1"/>
    <col min="3" max="3" width="13.28515625" customWidth="1"/>
    <col min="4" max="4" width="25.42578125" customWidth="1"/>
    <col min="5" max="5" width="12.28515625" customWidth="1"/>
    <col min="6" max="6" width="10.140625" customWidth="1"/>
    <col min="7" max="7" width="7" customWidth="1"/>
    <col min="8" max="8" width="18.7109375" customWidth="1"/>
    <col min="9" max="9" width="6.7109375" customWidth="1"/>
    <col min="10" max="10" width="6" customWidth="1"/>
    <col min="12" max="12" width="10.28515625" customWidth="1"/>
    <col min="13" max="13" width="13.85546875" customWidth="1"/>
    <col min="14" max="14" width="13.5703125" customWidth="1"/>
  </cols>
  <sheetData>
    <row r="1" spans="1:24" s="195" customFormat="1" ht="18.75" customHeight="1" x14ac:dyDescent="0.3">
      <c r="A1" s="973" t="s">
        <v>851</v>
      </c>
      <c r="B1" s="973"/>
      <c r="C1" s="973"/>
      <c r="D1" s="973"/>
      <c r="E1" s="973"/>
      <c r="F1" s="973"/>
      <c r="G1" s="973"/>
      <c r="H1" s="973"/>
      <c r="I1" s="973"/>
      <c r="J1" s="973"/>
      <c r="K1" s="973"/>
    </row>
    <row r="2" spans="1:24" s="193" customFormat="1" ht="9" customHeight="1" x14ac:dyDescent="0.25"/>
    <row r="3" spans="1:24" s="198" customFormat="1" ht="14.25" customHeight="1" x14ac:dyDescent="0.25">
      <c r="A3" s="1065" t="s">
        <v>796</v>
      </c>
      <c r="B3" s="1065"/>
      <c r="C3" s="1065"/>
      <c r="D3" s="1065"/>
      <c r="E3" s="1065"/>
      <c r="F3" s="1065"/>
      <c r="G3" s="1065"/>
      <c r="H3" s="1065"/>
      <c r="I3" s="1065"/>
      <c r="J3" s="1065"/>
      <c r="K3" s="1065"/>
      <c r="L3" s="1065"/>
      <c r="M3" s="1065"/>
      <c r="N3" s="1065"/>
      <c r="O3" s="1065"/>
      <c r="P3" s="1065"/>
      <c r="Q3" s="186"/>
    </row>
    <row r="4" spans="1:24" s="198" customFormat="1" ht="30" customHeight="1" x14ac:dyDescent="0.25">
      <c r="A4" s="1066" t="s">
        <v>832</v>
      </c>
      <c r="B4" s="1066"/>
      <c r="C4" s="1066"/>
      <c r="D4" s="1066"/>
      <c r="E4" s="1066"/>
      <c r="F4" s="1066"/>
      <c r="G4" s="1066"/>
      <c r="H4" s="1066"/>
      <c r="I4" s="1066"/>
      <c r="J4" s="1066"/>
      <c r="K4" s="1066"/>
      <c r="L4" s="1066"/>
      <c r="M4" s="203"/>
      <c r="N4" s="203"/>
      <c r="O4" s="186"/>
      <c r="P4" s="186"/>
      <c r="Q4" s="186"/>
      <c r="R4" s="186"/>
      <c r="S4" s="186"/>
      <c r="T4" s="186"/>
      <c r="U4" s="186"/>
    </row>
    <row r="5" spans="1:24" s="187" customFormat="1" ht="15.75" x14ac:dyDescent="0.25">
      <c r="A5" s="713"/>
      <c r="B5" s="713"/>
      <c r="C5" s="713"/>
      <c r="D5" s="713"/>
      <c r="E5" s="713"/>
      <c r="F5" s="713"/>
      <c r="G5" s="713"/>
      <c r="H5" s="713"/>
      <c r="I5" s="713"/>
      <c r="J5" s="713"/>
      <c r="K5" s="713"/>
      <c r="L5" s="713"/>
      <c r="M5" s="713"/>
      <c r="N5" s="713"/>
      <c r="O5" s="713"/>
      <c r="P5" s="713"/>
      <c r="Q5" s="713"/>
    </row>
    <row r="6" spans="1:24" s="190" customFormat="1" ht="30.75" customHeight="1" x14ac:dyDescent="0.25">
      <c r="A6" s="1038" t="s">
        <v>853</v>
      </c>
      <c r="B6" s="1038"/>
      <c r="C6" s="1038"/>
      <c r="D6" s="1038"/>
      <c r="E6" s="1038"/>
      <c r="F6" s="1038"/>
      <c r="G6" s="1038"/>
      <c r="H6" s="1038"/>
      <c r="I6" s="1038"/>
      <c r="J6" s="1038"/>
      <c r="K6" s="1038"/>
      <c r="L6" s="1038"/>
      <c r="M6" s="188"/>
      <c r="N6" s="188"/>
      <c r="O6" s="268"/>
      <c r="P6" s="268"/>
      <c r="Q6" s="268"/>
      <c r="R6" s="268"/>
      <c r="S6" s="268"/>
      <c r="T6" s="268"/>
      <c r="U6" s="268"/>
      <c r="V6" s="268"/>
      <c r="W6" s="268"/>
      <c r="X6" s="268"/>
    </row>
    <row r="7" spans="1:24" s="269" customFormat="1" ht="12.75" customHeight="1" x14ac:dyDescent="0.3">
      <c r="A7" s="183"/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</row>
    <row r="8" spans="1:24" s="269" customFormat="1" ht="18.75" customHeight="1" x14ac:dyDescent="0.3">
      <c r="A8" s="1043" t="s">
        <v>854</v>
      </c>
      <c r="B8" s="1043"/>
      <c r="C8" s="1043"/>
      <c r="D8" s="1043"/>
      <c r="E8" s="1043"/>
      <c r="F8" s="1043"/>
      <c r="G8" s="1043"/>
      <c r="H8" s="1043"/>
      <c r="I8" s="1043"/>
      <c r="J8" s="1043"/>
      <c r="K8" s="1043"/>
      <c r="L8" s="1043"/>
      <c r="M8" s="1043"/>
      <c r="N8" s="1043"/>
      <c r="O8" s="1043"/>
      <c r="P8" s="1043"/>
      <c r="Q8" s="1043"/>
      <c r="R8" s="1043"/>
      <c r="S8" s="1043"/>
      <c r="T8" s="1043"/>
      <c r="U8" s="1043"/>
      <c r="V8" s="1043"/>
      <c r="W8" s="1043"/>
      <c r="X8" s="1043"/>
    </row>
    <row r="9" spans="1:24" s="269" customFormat="1" ht="12" customHeight="1" x14ac:dyDescent="0.3">
      <c r="A9" s="183"/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</row>
    <row r="10" spans="1:24" s="201" customFormat="1" ht="23.25" customHeight="1" x14ac:dyDescent="0.25">
      <c r="A10" s="1042" t="s">
        <v>857</v>
      </c>
      <c r="B10" s="1042"/>
      <c r="C10" s="1042"/>
      <c r="D10" s="1042"/>
      <c r="E10" s="1042"/>
      <c r="F10" s="1042"/>
      <c r="G10" s="1042"/>
      <c r="H10" s="1042"/>
      <c r="I10" s="1042"/>
      <c r="J10" s="1042"/>
      <c r="K10" s="1042"/>
      <c r="L10" s="1042"/>
      <c r="M10" s="181"/>
      <c r="N10" s="181"/>
      <c r="O10" s="267"/>
      <c r="P10" s="267"/>
      <c r="Q10" s="267"/>
      <c r="R10" s="267"/>
      <c r="S10" s="267"/>
      <c r="T10" s="267"/>
      <c r="U10" s="267"/>
    </row>
    <row r="11" spans="1:24" s="201" customFormat="1" ht="9.75" customHeight="1" x14ac:dyDescent="0.25">
      <c r="A11" s="181"/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267"/>
      <c r="P11" s="267"/>
      <c r="Q11" s="267"/>
      <c r="R11" s="267"/>
      <c r="S11" s="267"/>
      <c r="T11" s="267"/>
      <c r="U11" s="267"/>
    </row>
    <row r="12" spans="1:24" s="269" customFormat="1" ht="18.75" customHeight="1" x14ac:dyDescent="0.3">
      <c r="A12" s="1043" t="s">
        <v>855</v>
      </c>
      <c r="B12" s="1043"/>
      <c r="C12" s="1043"/>
      <c r="D12" s="1043"/>
      <c r="E12" s="1043"/>
      <c r="F12" s="1043"/>
      <c r="G12" s="1043"/>
      <c r="H12" s="1043"/>
      <c r="I12" s="1043"/>
      <c r="J12" s="1043"/>
      <c r="K12" s="1043"/>
      <c r="L12" s="1043"/>
      <c r="M12" s="1043"/>
      <c r="N12" s="1043"/>
      <c r="O12" s="1043"/>
      <c r="P12" s="1043"/>
      <c r="Q12" s="1043"/>
      <c r="R12" s="1043"/>
      <c r="S12" s="1043"/>
      <c r="T12" s="1043"/>
      <c r="U12" s="1043"/>
      <c r="V12" s="1043"/>
      <c r="W12" s="1043"/>
      <c r="X12" s="1043"/>
    </row>
    <row r="13" spans="1:24" s="269" customFormat="1" ht="11.25" customHeight="1" x14ac:dyDescent="0.3">
      <c r="A13" s="183"/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</row>
    <row r="14" spans="1:24" s="201" customFormat="1" ht="23.25" customHeight="1" x14ac:dyDescent="0.25">
      <c r="A14" s="1042" t="s">
        <v>856</v>
      </c>
      <c r="B14" s="1042"/>
      <c r="C14" s="1042"/>
      <c r="D14" s="1042"/>
      <c r="E14" s="1042"/>
      <c r="F14" s="1042"/>
      <c r="G14" s="1042"/>
      <c r="H14" s="1042"/>
      <c r="I14" s="1042"/>
      <c r="J14" s="1042"/>
      <c r="K14" s="1042"/>
      <c r="L14" s="1042"/>
      <c r="M14" s="181"/>
      <c r="N14" s="181"/>
      <c r="O14" s="267"/>
      <c r="P14" s="267"/>
      <c r="Q14" s="267"/>
      <c r="R14" s="267"/>
      <c r="S14" s="267"/>
      <c r="T14" s="267"/>
      <c r="U14" s="267"/>
    </row>
    <row r="15" spans="1:24" s="191" customFormat="1" ht="15.75" x14ac:dyDescent="0.25">
      <c r="A15" s="188" t="s">
        <v>833</v>
      </c>
      <c r="K15" s="188"/>
    </row>
    <row r="16" spans="1:24" s="191" customFormat="1" ht="18" customHeight="1" x14ac:dyDescent="0.25">
      <c r="A16" s="1038" t="s">
        <v>858</v>
      </c>
      <c r="B16" s="1038"/>
      <c r="C16" s="1038"/>
      <c r="D16" s="1038"/>
      <c r="E16" s="1038"/>
      <c r="F16" s="1038"/>
      <c r="G16" s="1038"/>
      <c r="H16" s="1038"/>
      <c r="I16" s="1038"/>
      <c r="J16" s="1038"/>
      <c r="K16" s="1038"/>
      <c r="L16" s="1038"/>
      <c r="M16" s="188"/>
      <c r="N16" s="188"/>
      <c r="O16" s="268"/>
      <c r="P16" s="268"/>
      <c r="Q16" s="268"/>
      <c r="R16" s="268"/>
      <c r="S16" s="268"/>
      <c r="T16" s="268"/>
      <c r="U16" s="268"/>
    </row>
    <row r="17" spans="1:24" s="191" customFormat="1" ht="15.75" customHeight="1" x14ac:dyDescent="0.25">
      <c r="A17" s="1038" t="s">
        <v>859</v>
      </c>
      <c r="B17" s="1038"/>
      <c r="C17" s="1038"/>
      <c r="D17" s="1038"/>
      <c r="E17" s="1038"/>
      <c r="F17" s="1038"/>
      <c r="G17" s="1038"/>
      <c r="H17" s="1038"/>
      <c r="I17" s="1038"/>
      <c r="J17" s="1038"/>
      <c r="K17" s="1038"/>
      <c r="L17" s="1038"/>
      <c r="M17" s="1038"/>
      <c r="N17" s="1038"/>
      <c r="O17" s="1038"/>
      <c r="P17" s="1038"/>
      <c r="Q17" s="1038"/>
      <c r="R17" s="1038"/>
      <c r="S17" s="1038"/>
      <c r="T17" s="1038"/>
      <c r="U17" s="1038"/>
    </row>
    <row r="18" spans="1:24" s="190" customFormat="1" ht="9.75" customHeight="1" x14ac:dyDescent="0.25">
      <c r="A18" s="1038"/>
      <c r="B18" s="1038"/>
      <c r="C18" s="1038"/>
      <c r="D18" s="1038"/>
      <c r="E18" s="1038"/>
      <c r="F18" s="1038"/>
      <c r="G18" s="1038"/>
      <c r="H18" s="1038"/>
      <c r="I18" s="1038"/>
      <c r="J18" s="1038"/>
      <c r="K18" s="1038"/>
      <c r="L18" s="1038"/>
      <c r="M18" s="1038"/>
      <c r="N18" s="1038"/>
      <c r="O18" s="1038"/>
      <c r="P18" s="1038"/>
      <c r="Q18" s="1038"/>
      <c r="R18" s="1038"/>
      <c r="S18" s="1038"/>
      <c r="T18" s="1038"/>
      <c r="U18" s="1038"/>
      <c r="V18" s="1038"/>
      <c r="W18" s="1038"/>
      <c r="X18" s="1038"/>
    </row>
    <row r="19" spans="1:24" s="200" customFormat="1" ht="42.75" customHeight="1" x14ac:dyDescent="0.25">
      <c r="A19" s="1043" t="s">
        <v>852</v>
      </c>
      <c r="B19" s="1043"/>
      <c r="C19" s="1043"/>
      <c r="D19" s="1043"/>
      <c r="E19" s="1043"/>
      <c r="F19" s="1043"/>
      <c r="G19" s="1043"/>
      <c r="H19" s="1043"/>
      <c r="I19" s="1043"/>
      <c r="J19" s="1043"/>
      <c r="K19" s="1043"/>
      <c r="L19" s="1043"/>
      <c r="M19" s="183"/>
      <c r="N19" s="183"/>
      <c r="O19" s="266"/>
      <c r="P19" s="266"/>
      <c r="Q19" s="266"/>
      <c r="R19" s="266"/>
      <c r="S19" s="266"/>
      <c r="T19" s="266"/>
      <c r="U19" s="266"/>
    </row>
    <row r="20" spans="1:24" s="201" customFormat="1" ht="23.25" customHeight="1" x14ac:dyDescent="0.25">
      <c r="A20" s="1043" t="s">
        <v>834</v>
      </c>
      <c r="B20" s="1043"/>
      <c r="C20" s="1043"/>
      <c r="D20" s="1043"/>
      <c r="E20" s="1043"/>
      <c r="F20" s="1043"/>
      <c r="G20" s="1043"/>
      <c r="H20" s="1043"/>
      <c r="I20" s="1043"/>
      <c r="J20" s="1043"/>
      <c r="K20" s="1043"/>
      <c r="L20" s="1043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</row>
    <row r="21" spans="1:24" s="201" customFormat="1" ht="11.25" customHeight="1" x14ac:dyDescent="0.25">
      <c r="A21" s="183"/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266"/>
      <c r="N21" s="266"/>
      <c r="O21" s="266"/>
      <c r="P21" s="266"/>
      <c r="Q21" s="266"/>
      <c r="R21" s="266"/>
      <c r="S21" s="266"/>
      <c r="T21" s="266"/>
      <c r="U21" s="266"/>
      <c r="V21" s="266"/>
      <c r="W21" s="266"/>
    </row>
    <row r="22" spans="1:24" s="201" customFormat="1" ht="21" customHeight="1" x14ac:dyDescent="0.25">
      <c r="A22" s="1043" t="s">
        <v>835</v>
      </c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  <c r="O22" s="1043"/>
      <c r="P22" s="1043"/>
      <c r="Q22" s="1043"/>
      <c r="R22" s="183"/>
      <c r="S22" s="183"/>
    </row>
    <row r="23" spans="1:24" s="191" customFormat="1" ht="15.75" x14ac:dyDescent="0.25">
      <c r="A23" s="188" t="s">
        <v>833</v>
      </c>
      <c r="K23" s="188"/>
    </row>
    <row r="24" spans="1:24" s="191" customFormat="1" ht="21.75" customHeight="1" x14ac:dyDescent="0.25">
      <c r="A24" s="1038" t="s">
        <v>836</v>
      </c>
      <c r="B24" s="1038"/>
      <c r="C24" s="1038"/>
      <c r="D24" s="1038"/>
      <c r="E24" s="1038"/>
      <c r="F24" s="1038"/>
      <c r="G24" s="1038"/>
      <c r="H24" s="1038"/>
      <c r="I24" s="1038"/>
      <c r="J24" s="1038"/>
      <c r="K24" s="1038"/>
      <c r="L24" s="1038"/>
      <c r="M24" s="188"/>
      <c r="N24" s="188"/>
      <c r="O24" s="268"/>
      <c r="P24" s="268"/>
      <c r="Q24" s="268"/>
      <c r="R24" s="188"/>
      <c r="S24" s="188"/>
    </row>
    <row r="25" spans="1:24" s="191" customFormat="1" ht="12" customHeight="1" x14ac:dyDescent="0.25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268"/>
      <c r="P25" s="268"/>
      <c r="Q25" s="268"/>
      <c r="R25" s="188"/>
      <c r="S25" s="188"/>
    </row>
    <row r="26" spans="1:24" s="197" customFormat="1" ht="30" customHeight="1" x14ac:dyDescent="0.25">
      <c r="A26" s="1043" t="s">
        <v>1488</v>
      </c>
      <c r="B26" s="1043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83"/>
      <c r="N26" s="183"/>
      <c r="O26" s="266"/>
      <c r="P26" s="266"/>
      <c r="Q26" s="266"/>
      <c r="R26" s="266"/>
      <c r="S26" s="266"/>
      <c r="T26" s="266"/>
      <c r="U26" s="266"/>
    </row>
    <row r="27" spans="1:24" s="197" customFormat="1" ht="30" customHeight="1" x14ac:dyDescent="0.2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266"/>
      <c r="P27" s="266"/>
      <c r="Q27" s="266"/>
      <c r="R27" s="266"/>
      <c r="S27" s="266"/>
      <c r="T27" s="266"/>
      <c r="U27" s="266"/>
    </row>
    <row r="28" spans="1:24" s="197" customFormat="1" ht="16.5" customHeight="1" x14ac:dyDescent="0.25">
      <c r="A28" s="1043" t="s">
        <v>860</v>
      </c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83"/>
      <c r="N28" s="183"/>
      <c r="O28" s="266"/>
      <c r="P28" s="266"/>
      <c r="Q28" s="266"/>
      <c r="R28" s="202"/>
      <c r="S28" s="183"/>
    </row>
    <row r="29" spans="1:24" ht="51" x14ac:dyDescent="0.25">
      <c r="A29" s="25" t="s">
        <v>76</v>
      </c>
      <c r="B29" s="25" t="s">
        <v>77</v>
      </c>
      <c r="C29" s="25" t="s">
        <v>78</v>
      </c>
      <c r="D29" s="25" t="s">
        <v>108</v>
      </c>
      <c r="E29" s="25" t="s">
        <v>109</v>
      </c>
      <c r="F29" s="25" t="s">
        <v>110</v>
      </c>
      <c r="G29" s="25" t="s">
        <v>111</v>
      </c>
      <c r="H29" s="25" t="s">
        <v>20</v>
      </c>
      <c r="I29" s="25" t="s">
        <v>91</v>
      </c>
      <c r="J29" s="292" t="s">
        <v>92</v>
      </c>
      <c r="K29" s="25" t="s">
        <v>93</v>
      </c>
      <c r="L29" s="25" t="s">
        <v>94</v>
      </c>
      <c r="M29" s="287"/>
      <c r="N29" s="287"/>
    </row>
    <row r="30" spans="1:24" x14ac:dyDescent="0.25">
      <c r="A30" s="26">
        <v>1</v>
      </c>
      <c r="B30" s="26">
        <v>2</v>
      </c>
      <c r="C30" s="26">
        <v>3</v>
      </c>
      <c r="D30" s="26">
        <v>4</v>
      </c>
      <c r="E30" s="26">
        <v>5</v>
      </c>
      <c r="F30" s="26">
        <v>6</v>
      </c>
      <c r="G30" s="26">
        <v>7</v>
      </c>
      <c r="H30" s="26">
        <v>8</v>
      </c>
      <c r="I30" s="26">
        <v>9</v>
      </c>
      <c r="J30" s="26">
        <v>10</v>
      </c>
      <c r="K30" s="26">
        <v>11</v>
      </c>
      <c r="L30" s="26">
        <v>12</v>
      </c>
      <c r="M30" s="286"/>
      <c r="N30" s="286"/>
    </row>
    <row r="31" spans="1:24" x14ac:dyDescent="0.25">
      <c r="A31" s="1073" t="s">
        <v>112</v>
      </c>
      <c r="B31" s="1074"/>
      <c r="C31" s="1074"/>
      <c r="D31" s="1074"/>
      <c r="E31" s="1074"/>
      <c r="F31" s="1074"/>
      <c r="G31" s="1074"/>
      <c r="H31" s="1074"/>
      <c r="I31" s="1074"/>
      <c r="J31" s="1074"/>
      <c r="K31" s="1074"/>
      <c r="L31" s="1075"/>
      <c r="M31" s="293"/>
      <c r="N31" s="293"/>
    </row>
    <row r="32" spans="1:24" x14ac:dyDescent="0.25">
      <c r="A32" s="1076" t="s">
        <v>43</v>
      </c>
      <c r="B32" s="1077"/>
      <c r="C32" s="1077"/>
      <c r="D32" s="1077"/>
      <c r="E32" s="1077"/>
      <c r="F32" s="1077"/>
      <c r="G32" s="1077"/>
      <c r="H32" s="1077"/>
      <c r="I32" s="1077"/>
      <c r="J32" s="1077"/>
      <c r="K32" s="1077"/>
      <c r="L32" s="1078"/>
      <c r="M32" s="294"/>
      <c r="N32" s="294"/>
    </row>
    <row r="33" spans="1:19" ht="25.5" x14ac:dyDescent="0.25">
      <c r="A33" s="27" t="s">
        <v>113</v>
      </c>
      <c r="B33" s="28" t="s">
        <v>114</v>
      </c>
      <c r="C33" s="29" t="s">
        <v>46</v>
      </c>
      <c r="D33" s="1079" t="s">
        <v>115</v>
      </c>
      <c r="E33" s="1" t="s">
        <v>116</v>
      </c>
      <c r="F33" s="18">
        <v>7.0000000000000007E-2</v>
      </c>
      <c r="G33" s="18">
        <v>88</v>
      </c>
      <c r="H33" s="30" t="s">
        <v>117</v>
      </c>
      <c r="I33" s="18">
        <v>2754</v>
      </c>
      <c r="J33" s="18" t="s">
        <v>103</v>
      </c>
      <c r="K33" s="18">
        <f>ROUND(((F33/3.6)*(J33/100)),5)</f>
        <v>1.9390000000000001E-2</v>
      </c>
      <c r="L33" s="28">
        <f>ROUND(((F33*G33/1000)*(J33/100)),5)</f>
        <v>6.1399999999999996E-3</v>
      </c>
      <c r="M33" s="287"/>
      <c r="N33" s="287"/>
      <c r="Q33" s="87"/>
      <c r="R33" s="87"/>
      <c r="S33" s="87"/>
    </row>
    <row r="34" spans="1:19" x14ac:dyDescent="0.25">
      <c r="A34" s="31"/>
      <c r="B34" s="7" t="s">
        <v>118</v>
      </c>
      <c r="C34" s="32"/>
      <c r="D34" s="1080"/>
      <c r="E34" s="33"/>
      <c r="F34" s="33"/>
      <c r="G34" s="33"/>
      <c r="H34" s="23" t="s">
        <v>104</v>
      </c>
      <c r="I34" s="22" t="s">
        <v>105</v>
      </c>
      <c r="J34" s="22" t="s">
        <v>106</v>
      </c>
      <c r="K34" s="22">
        <f>ROUND(((F33/3.6)*(J34/100)),5)</f>
        <v>5.0000000000000002E-5</v>
      </c>
      <c r="L34" s="43">
        <f>ROUND(((F33*G33/1000)*(J34/100)),5)</f>
        <v>2.0000000000000002E-5</v>
      </c>
      <c r="M34" s="287"/>
      <c r="N34" s="287"/>
    </row>
    <row r="35" spans="1:19" ht="25.5" x14ac:dyDescent="0.25">
      <c r="A35" s="34"/>
      <c r="B35" s="35"/>
      <c r="C35" s="29" t="s">
        <v>46</v>
      </c>
      <c r="D35" s="1079" t="s">
        <v>119</v>
      </c>
      <c r="E35" s="1" t="s">
        <v>120</v>
      </c>
      <c r="F35" s="18">
        <v>7.0000000000000007E-2</v>
      </c>
      <c r="G35" s="18">
        <v>440</v>
      </c>
      <c r="H35" s="30" t="s">
        <v>117</v>
      </c>
      <c r="I35" s="18">
        <v>2754</v>
      </c>
      <c r="J35" s="18" t="s">
        <v>103</v>
      </c>
      <c r="K35" s="18">
        <f>ROUND(((F35/3.6)*2*(J35/100)),5)</f>
        <v>3.8780000000000002E-2</v>
      </c>
      <c r="L35" s="28">
        <f>ROUND(((F35*G35/1000)*(J35/100)),5)</f>
        <v>3.0710000000000001E-2</v>
      </c>
      <c r="M35" s="287"/>
      <c r="N35" s="287"/>
      <c r="Q35" s="87"/>
      <c r="R35" s="87"/>
    </row>
    <row r="36" spans="1:19" x14ac:dyDescent="0.25">
      <c r="A36" s="34"/>
      <c r="B36" s="35"/>
      <c r="C36" s="32"/>
      <c r="D36" s="1080"/>
      <c r="E36" s="33"/>
      <c r="F36" s="12"/>
      <c r="G36" s="33"/>
      <c r="H36" s="23" t="s">
        <v>104</v>
      </c>
      <c r="I36" s="22" t="s">
        <v>105</v>
      </c>
      <c r="J36" s="22" t="s">
        <v>106</v>
      </c>
      <c r="K36" s="22">
        <f>ROUND(((F35/3.6)*2*(J36/100)),5)</f>
        <v>1.1E-4</v>
      </c>
      <c r="L36" s="43">
        <f>ROUND(((F35*G35/1000)*(J36/100)),5)</f>
        <v>9.0000000000000006E-5</v>
      </c>
      <c r="M36" s="287"/>
      <c r="N36" s="287"/>
      <c r="Q36" s="87"/>
      <c r="R36" s="87"/>
    </row>
    <row r="37" spans="1:19" ht="25.5" x14ac:dyDescent="0.25">
      <c r="A37" s="34"/>
      <c r="B37" s="35"/>
      <c r="C37" s="29" t="s">
        <v>46</v>
      </c>
      <c r="D37" s="1079" t="s">
        <v>119</v>
      </c>
      <c r="E37" s="1" t="s">
        <v>120</v>
      </c>
      <c r="F37" s="18">
        <v>7.0000000000000007E-2</v>
      </c>
      <c r="G37" s="18">
        <v>440</v>
      </c>
      <c r="H37" s="30" t="s">
        <v>117</v>
      </c>
      <c r="I37" s="18">
        <v>2754</v>
      </c>
      <c r="J37" s="18" t="s">
        <v>103</v>
      </c>
      <c r="K37" s="18">
        <f>ROUND(((F37/3.6)*2*(J37/100)),5)</f>
        <v>3.8780000000000002E-2</v>
      </c>
      <c r="L37" s="28">
        <f>ROUND(((F37*G37/1000)*(J37/100)),5)</f>
        <v>3.0710000000000001E-2</v>
      </c>
      <c r="M37" s="287"/>
      <c r="N37" s="287"/>
      <c r="Q37" s="87"/>
      <c r="R37" s="87"/>
    </row>
    <row r="38" spans="1:19" x14ac:dyDescent="0.25">
      <c r="A38" s="36"/>
      <c r="B38" s="37"/>
      <c r="C38" s="32"/>
      <c r="D38" s="1080"/>
      <c r="E38" s="33"/>
      <c r="F38" s="12"/>
      <c r="G38" s="33"/>
      <c r="H38" s="23" t="s">
        <v>104</v>
      </c>
      <c r="I38" s="22" t="s">
        <v>105</v>
      </c>
      <c r="J38" s="22" t="s">
        <v>106</v>
      </c>
      <c r="K38" s="22">
        <f>ROUND(((F37/3.6)*2*(J38/100)),5)</f>
        <v>1.1E-4</v>
      </c>
      <c r="L38" s="43">
        <f>ROUND(((F37*G37/1000)*(J38/100)),5)</f>
        <v>9.0000000000000006E-5</v>
      </c>
      <c r="M38" s="287"/>
      <c r="N38" s="287"/>
    </row>
    <row r="39" spans="1:19" ht="36" customHeight="1" x14ac:dyDescent="0.25">
      <c r="A39" s="1067" t="s">
        <v>121</v>
      </c>
      <c r="B39" s="1068"/>
      <c r="C39" s="1068"/>
      <c r="D39" s="1068"/>
      <c r="E39" s="1068"/>
      <c r="F39" s="1068"/>
      <c r="G39" s="1069"/>
      <c r="H39" s="38" t="s">
        <v>117</v>
      </c>
      <c r="I39" s="39">
        <v>2754</v>
      </c>
      <c r="J39" s="39" t="s">
        <v>103</v>
      </c>
      <c r="K39" s="295">
        <f>K33+K35+K37</f>
        <v>9.6950000000000008E-2</v>
      </c>
      <c r="L39" s="295">
        <f>L33+L35+L37</f>
        <v>6.7560000000000009E-2</v>
      </c>
      <c r="M39" s="296"/>
      <c r="N39" s="296"/>
    </row>
    <row r="40" spans="1:19" x14ac:dyDescent="0.25">
      <c r="A40" s="1070"/>
      <c r="B40" s="1071"/>
      <c r="C40" s="1071"/>
      <c r="D40" s="1071"/>
      <c r="E40" s="1071"/>
      <c r="F40" s="1071"/>
      <c r="G40" s="1072"/>
      <c r="H40" s="40" t="s">
        <v>104</v>
      </c>
      <c r="I40" s="39" t="s">
        <v>105</v>
      </c>
      <c r="J40" s="39" t="s">
        <v>106</v>
      </c>
      <c r="K40" s="295">
        <f>K34+K36+K38</f>
        <v>2.7E-4</v>
      </c>
      <c r="L40" s="295">
        <f>L34+L36+L38</f>
        <v>2.0000000000000001E-4</v>
      </c>
      <c r="M40" s="369">
        <f>SUM(K39:K40)</f>
        <v>9.7220000000000015E-2</v>
      </c>
      <c r="N40" s="369">
        <f>SUM(L39:L40)</f>
        <v>6.7760000000000015E-2</v>
      </c>
    </row>
    <row r="41" spans="1:19" x14ac:dyDescent="0.25">
      <c r="A41" s="1081" t="s">
        <v>147</v>
      </c>
      <c r="B41" s="1082"/>
      <c r="C41" s="1083"/>
      <c r="D41" s="1083"/>
      <c r="E41" s="1083"/>
      <c r="F41" s="1083"/>
      <c r="G41" s="1083"/>
      <c r="H41" s="1083"/>
      <c r="I41" s="1083"/>
      <c r="J41" s="1083"/>
      <c r="K41" s="1083"/>
      <c r="L41" s="1084"/>
      <c r="M41" s="297"/>
      <c r="N41" s="297"/>
    </row>
    <row r="42" spans="1:19" ht="25.5" x14ac:dyDescent="0.25">
      <c r="A42" s="27" t="s">
        <v>113</v>
      </c>
      <c r="B42" s="28" t="s">
        <v>114</v>
      </c>
      <c r="C42" s="45" t="s">
        <v>46</v>
      </c>
      <c r="D42" s="1085" t="s">
        <v>115</v>
      </c>
      <c r="E42" s="41" t="s">
        <v>116</v>
      </c>
      <c r="F42" s="28">
        <v>7.0000000000000007E-2</v>
      </c>
      <c r="G42" s="28">
        <v>14</v>
      </c>
      <c r="H42" s="46" t="s">
        <v>117</v>
      </c>
      <c r="I42" s="28">
        <v>2754</v>
      </c>
      <c r="J42" s="28" t="s">
        <v>103</v>
      </c>
      <c r="K42" s="28">
        <f>ROUND(((F42/3.6)*(J42/100)),5)</f>
        <v>1.9390000000000001E-2</v>
      </c>
      <c r="L42" s="28">
        <f>ROUND(((F42*G42/1000)*(J42/100)),5)</f>
        <v>9.7999999999999997E-4</v>
      </c>
      <c r="M42" s="287"/>
      <c r="N42" s="287"/>
      <c r="Q42" s="87"/>
    </row>
    <row r="43" spans="1:19" x14ac:dyDescent="0.25">
      <c r="A43" s="31"/>
      <c r="B43" s="7" t="s">
        <v>118</v>
      </c>
      <c r="C43" s="13"/>
      <c r="D43" s="1086"/>
      <c r="E43" s="14"/>
      <c r="F43" s="14"/>
      <c r="G43" s="14"/>
      <c r="H43" s="44" t="s">
        <v>104</v>
      </c>
      <c r="I43" s="43" t="s">
        <v>105</v>
      </c>
      <c r="J43" s="43" t="s">
        <v>106</v>
      </c>
      <c r="K43" s="43">
        <f>ROUND(((F42/3.6)*(J43/100)),5)</f>
        <v>5.0000000000000002E-5</v>
      </c>
      <c r="L43" s="43">
        <f>ROUND(((F42*G42/1000)*(J43/100)),6)</f>
        <v>3.0000000000000001E-6</v>
      </c>
      <c r="M43" s="287"/>
      <c r="N43" s="287"/>
      <c r="Q43" s="87"/>
    </row>
    <row r="44" spans="1:19" ht="25.5" x14ac:dyDescent="0.25">
      <c r="A44" s="34"/>
      <c r="B44" s="35"/>
      <c r="C44" s="45" t="s">
        <v>46</v>
      </c>
      <c r="D44" s="1085" t="s">
        <v>119</v>
      </c>
      <c r="E44" s="41" t="s">
        <v>120</v>
      </c>
      <c r="F44" s="28">
        <v>7.0000000000000007E-2</v>
      </c>
      <c r="G44" s="28">
        <v>71</v>
      </c>
      <c r="H44" s="46" t="s">
        <v>117</v>
      </c>
      <c r="I44" s="28">
        <v>2754</v>
      </c>
      <c r="J44" s="28" t="s">
        <v>103</v>
      </c>
      <c r="K44" s="28">
        <f>ROUND(((F44/3.6)*2*(J44/100)),5)</f>
        <v>3.8780000000000002E-2</v>
      </c>
      <c r="L44" s="28">
        <f>ROUND(((F44*G44/1000)*(J44/100)),5)</f>
        <v>4.96E-3</v>
      </c>
      <c r="M44" s="287"/>
      <c r="N44" s="287"/>
      <c r="Q44" s="87"/>
    </row>
    <row r="45" spans="1:19" x14ac:dyDescent="0.25">
      <c r="A45" s="34"/>
      <c r="B45" s="35"/>
      <c r="C45" s="13"/>
      <c r="D45" s="1086"/>
      <c r="E45" s="14"/>
      <c r="F45" s="14"/>
      <c r="G45" s="14"/>
      <c r="H45" s="44" t="s">
        <v>104</v>
      </c>
      <c r="I45" s="43" t="s">
        <v>105</v>
      </c>
      <c r="J45" s="43" t="s">
        <v>106</v>
      </c>
      <c r="K45" s="43">
        <f>ROUND(((F44/3.6)*2*(J45/100)),5)</f>
        <v>1.1E-4</v>
      </c>
      <c r="L45" s="43">
        <f>ROUND(((F44*G44/1000)*(J45/100)),5)</f>
        <v>1.0000000000000001E-5</v>
      </c>
      <c r="M45" s="287"/>
      <c r="N45" s="287"/>
      <c r="Q45" s="87"/>
    </row>
    <row r="46" spans="1:19" ht="25.5" x14ac:dyDescent="0.25">
      <c r="A46" s="34"/>
      <c r="B46" s="35"/>
      <c r="C46" s="45" t="s">
        <v>46</v>
      </c>
      <c r="D46" s="1085" t="s">
        <v>119</v>
      </c>
      <c r="E46" s="41" t="s">
        <v>120</v>
      </c>
      <c r="F46" s="28">
        <v>7.0000000000000007E-2</v>
      </c>
      <c r="G46" s="28">
        <v>71</v>
      </c>
      <c r="H46" s="46" t="s">
        <v>117</v>
      </c>
      <c r="I46" s="28">
        <v>2754</v>
      </c>
      <c r="J46" s="28" t="s">
        <v>103</v>
      </c>
      <c r="K46" s="28">
        <f>ROUND(((F46/3.6)*2*(J46/100)),5)</f>
        <v>3.8780000000000002E-2</v>
      </c>
      <c r="L46" s="28">
        <f>ROUND(((F46*G46/1000)*(J46/100)),5)</f>
        <v>4.96E-3</v>
      </c>
      <c r="M46" s="287"/>
      <c r="N46" s="287"/>
      <c r="Q46" s="87"/>
    </row>
    <row r="47" spans="1:19" x14ac:dyDescent="0.25">
      <c r="A47" s="36"/>
      <c r="B47" s="37"/>
      <c r="C47" s="13"/>
      <c r="D47" s="1086"/>
      <c r="E47" s="14"/>
      <c r="F47" s="14"/>
      <c r="G47" s="14"/>
      <c r="H47" s="44" t="s">
        <v>104</v>
      </c>
      <c r="I47" s="43" t="s">
        <v>105</v>
      </c>
      <c r="J47" s="43" t="s">
        <v>106</v>
      </c>
      <c r="K47" s="43">
        <f>ROUND(((F46/3.6)*2*(J47/100)),5)</f>
        <v>1.1E-4</v>
      </c>
      <c r="L47" s="43">
        <f>ROUND(((F46*G46/1000)*(J47/100)),5)</f>
        <v>1.0000000000000001E-5</v>
      </c>
      <c r="M47" s="287"/>
      <c r="N47" s="287"/>
    </row>
    <row r="48" spans="1:19" ht="36.75" customHeight="1" x14ac:dyDescent="0.25">
      <c r="A48" s="1067" t="s">
        <v>121</v>
      </c>
      <c r="B48" s="1068"/>
      <c r="C48" s="1068"/>
      <c r="D48" s="1068"/>
      <c r="E48" s="1068"/>
      <c r="F48" s="1068"/>
      <c r="G48" s="1069"/>
      <c r="H48" s="47" t="s">
        <v>117</v>
      </c>
      <c r="I48" s="48">
        <v>2754</v>
      </c>
      <c r="J48" s="48" t="s">
        <v>103</v>
      </c>
      <c r="K48" s="295">
        <f>K42+K44+K46</f>
        <v>9.6950000000000008E-2</v>
      </c>
      <c r="L48" s="295">
        <f>L42+L44+L46</f>
        <v>1.09E-2</v>
      </c>
      <c r="M48" s="296"/>
      <c r="N48" s="296"/>
    </row>
    <row r="49" spans="1:14" x14ac:dyDescent="0.25">
      <c r="A49" s="1070"/>
      <c r="B49" s="1071"/>
      <c r="C49" s="1071"/>
      <c r="D49" s="1071"/>
      <c r="E49" s="1071"/>
      <c r="F49" s="1071"/>
      <c r="G49" s="1072"/>
      <c r="H49" s="49" t="s">
        <v>104</v>
      </c>
      <c r="I49" s="48" t="s">
        <v>105</v>
      </c>
      <c r="J49" s="48" t="s">
        <v>106</v>
      </c>
      <c r="K49" s="295">
        <f>K43+K45+K47</f>
        <v>2.7E-4</v>
      </c>
      <c r="L49" s="295">
        <f>L43+L45+L47</f>
        <v>2.3000000000000003E-5</v>
      </c>
      <c r="M49" s="369">
        <f>SUM(K48:K49)</f>
        <v>9.7220000000000015E-2</v>
      </c>
      <c r="N49" s="369">
        <f>SUM(L48:L49)</f>
        <v>1.0923E-2</v>
      </c>
    </row>
    <row r="51" spans="1:14" x14ac:dyDescent="0.25">
      <c r="M51" s="851">
        <f>SUM(M40:M49)</f>
        <v>0.19444000000000003</v>
      </c>
      <c r="N51" s="851">
        <f>SUM(N40:N49)</f>
        <v>7.8683000000000017E-2</v>
      </c>
    </row>
  </sheetData>
  <mergeCells count="28">
    <mergeCell ref="A12:X12"/>
    <mergeCell ref="A14:L14"/>
    <mergeCell ref="A10:L10"/>
    <mergeCell ref="A16:L16"/>
    <mergeCell ref="A28:L28"/>
    <mergeCell ref="A24:L24"/>
    <mergeCell ref="A26:L26"/>
    <mergeCell ref="A17:U17"/>
    <mergeCell ref="A18:X18"/>
    <mergeCell ref="A22:Q22"/>
    <mergeCell ref="A19:L19"/>
    <mergeCell ref="A20:L20"/>
    <mergeCell ref="A3:P3"/>
    <mergeCell ref="A6:L6"/>
    <mergeCell ref="A4:L4"/>
    <mergeCell ref="A1:K1"/>
    <mergeCell ref="A8:X8"/>
    <mergeCell ref="A41:L41"/>
    <mergeCell ref="D42:D43"/>
    <mergeCell ref="D44:D45"/>
    <mergeCell ref="D46:D47"/>
    <mergeCell ref="A48:G49"/>
    <mergeCell ref="A39:G40"/>
    <mergeCell ref="A31:L31"/>
    <mergeCell ref="A32:L32"/>
    <mergeCell ref="D33:D34"/>
    <mergeCell ref="D35:D36"/>
    <mergeCell ref="D37:D38"/>
  </mergeCells>
  <pageMargins left="0.31496062992125984" right="0.31496062992125984" top="0.78740157480314965" bottom="0.39370078740157483" header="0.31496062992125984" footer="0.19685039370078741"/>
  <pageSetup paperSize="9" firstPageNumber="24" orientation="landscape" useFirstPageNumber="1" r:id="rId1"/>
  <headerFooter>
    <oddFooter>&amp;R&amp;P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Y169"/>
  <sheetViews>
    <sheetView view="pageBreakPreview" topLeftCell="A78" zoomScale="115" zoomScaleNormal="115" zoomScaleSheetLayoutView="115" workbookViewId="0">
      <selection activeCell="N106" sqref="N106"/>
    </sheetView>
  </sheetViews>
  <sheetFormatPr defaultRowHeight="15" x14ac:dyDescent="0.25"/>
  <cols>
    <col min="1" max="1" width="3.85546875" customWidth="1"/>
    <col min="2" max="2" width="10.85546875" customWidth="1"/>
    <col min="3" max="3" width="12.7109375" customWidth="1"/>
    <col min="4" max="4" width="9.28515625" customWidth="1"/>
    <col min="5" max="5" width="5" customWidth="1"/>
    <col min="6" max="6" width="5.28515625" customWidth="1"/>
    <col min="7" max="7" width="6.42578125" customWidth="1"/>
    <col min="8" max="8" width="6.140625" customWidth="1"/>
    <col min="9" max="9" width="6.28515625" customWidth="1"/>
    <col min="10" max="11" width="5.5703125" customWidth="1"/>
    <col min="12" max="12" width="17.85546875" customWidth="1"/>
    <col min="13" max="13" width="4.7109375" customWidth="1"/>
    <col min="14" max="14" width="8" customWidth="1"/>
    <col min="15" max="15" width="8.7109375" customWidth="1"/>
    <col min="16" max="16" width="4.28515625" customWidth="1"/>
    <col min="17" max="17" width="10" customWidth="1"/>
    <col min="18" max="18" width="10.42578125" bestFit="1" customWidth="1"/>
    <col min="19" max="20" width="10.42578125" customWidth="1"/>
  </cols>
  <sheetData>
    <row r="1" spans="1:20" ht="24.75" customHeight="1" x14ac:dyDescent="0.3">
      <c r="A1" s="983" t="s">
        <v>872</v>
      </c>
      <c r="B1" s="983"/>
      <c r="C1" s="983"/>
      <c r="D1" s="983"/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</row>
    <row r="3" spans="1:20" s="216" customFormat="1" ht="14.25" customHeight="1" x14ac:dyDescent="0.25">
      <c r="A3" s="1092" t="s">
        <v>796</v>
      </c>
      <c r="B3" s="1092"/>
      <c r="C3" s="1092"/>
      <c r="D3" s="1092"/>
      <c r="E3" s="1092"/>
      <c r="F3" s="1092"/>
      <c r="G3" s="1092"/>
      <c r="H3" s="1092"/>
      <c r="I3" s="1092"/>
      <c r="J3" s="1092"/>
      <c r="K3" s="1092"/>
      <c r="L3" s="1092"/>
      <c r="M3" s="1092"/>
      <c r="N3" s="1092"/>
      <c r="S3" s="273"/>
      <c r="T3" s="273"/>
    </row>
    <row r="4" spans="1:20" s="216" customFormat="1" ht="29.25" customHeight="1" x14ac:dyDescent="0.25">
      <c r="A4" s="1093" t="s">
        <v>861</v>
      </c>
      <c r="B4" s="1093"/>
      <c r="C4" s="1093"/>
      <c r="D4" s="109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S4" s="273"/>
      <c r="T4" s="273"/>
    </row>
    <row r="5" spans="1:20" s="216" customFormat="1" ht="12.75" customHeight="1" x14ac:dyDescent="0.25">
      <c r="A5" s="244"/>
      <c r="B5" s="244"/>
      <c r="C5" s="244"/>
      <c r="D5" s="244"/>
      <c r="E5" s="244"/>
      <c r="F5" s="244"/>
      <c r="G5" s="244"/>
      <c r="H5" s="244"/>
      <c r="I5" s="244"/>
      <c r="J5" s="244"/>
      <c r="K5" s="244"/>
      <c r="S5" s="273"/>
      <c r="T5" s="273"/>
    </row>
    <row r="6" spans="1:20" s="306" customFormat="1" ht="18" customHeight="1" x14ac:dyDescent="0.3">
      <c r="A6" s="305"/>
      <c r="B6" s="1088" t="s">
        <v>873</v>
      </c>
      <c r="C6" s="1088"/>
      <c r="D6" s="1088"/>
      <c r="E6" s="1088"/>
      <c r="F6" s="1088"/>
      <c r="G6" s="1088"/>
      <c r="H6" s="1088"/>
      <c r="I6" s="1088"/>
      <c r="J6" s="1088"/>
      <c r="K6" s="1088"/>
      <c r="L6" s="1088"/>
      <c r="M6" s="1088"/>
      <c r="N6" s="1088"/>
      <c r="O6" s="1088"/>
      <c r="S6" s="320"/>
      <c r="T6" s="320"/>
    </row>
    <row r="7" spans="1:20" s="309" customFormat="1" ht="59.25" customHeight="1" x14ac:dyDescent="0.3">
      <c r="A7" s="1089" t="s">
        <v>862</v>
      </c>
      <c r="B7" s="1089"/>
      <c r="C7" s="1089"/>
      <c r="D7" s="1089"/>
      <c r="E7" s="1089"/>
      <c r="F7" s="1089"/>
      <c r="G7" s="1089"/>
      <c r="H7" s="1089"/>
      <c r="I7" s="1089"/>
      <c r="J7" s="1089"/>
      <c r="K7" s="1089"/>
      <c r="L7" s="1089"/>
      <c r="M7" s="1089"/>
      <c r="N7" s="1089"/>
      <c r="O7" s="1089"/>
      <c r="P7" s="1089"/>
      <c r="Q7" s="1089"/>
      <c r="S7" s="722"/>
      <c r="T7" s="722"/>
    </row>
    <row r="8" spans="1:20" s="309" customFormat="1" ht="60" customHeight="1" x14ac:dyDescent="0.3">
      <c r="A8" s="1089" t="s">
        <v>863</v>
      </c>
      <c r="B8" s="1089"/>
      <c r="C8" s="1089"/>
      <c r="D8" s="1089"/>
      <c r="E8" s="1089"/>
      <c r="F8" s="1089"/>
      <c r="G8" s="1089"/>
      <c r="H8" s="1089"/>
      <c r="I8" s="1089"/>
      <c r="J8" s="1089"/>
      <c r="K8" s="1089"/>
      <c r="L8" s="1089"/>
      <c r="M8" s="1089"/>
      <c r="N8" s="1089"/>
      <c r="O8" s="1089"/>
      <c r="P8" s="1089"/>
      <c r="Q8" s="1089"/>
      <c r="S8" s="722"/>
      <c r="T8" s="722"/>
    </row>
    <row r="9" spans="1:20" s="309" customFormat="1" ht="38.25" customHeight="1" x14ac:dyDescent="0.3">
      <c r="A9" s="1089" t="s">
        <v>864</v>
      </c>
      <c r="B9" s="1089"/>
      <c r="C9" s="1089"/>
      <c r="D9" s="1089"/>
      <c r="E9" s="1089"/>
      <c r="F9" s="1089"/>
      <c r="G9" s="1089"/>
      <c r="H9" s="1089"/>
      <c r="I9" s="1089"/>
      <c r="J9" s="1089"/>
      <c r="K9" s="1089"/>
      <c r="L9" s="1089"/>
      <c r="M9" s="1089"/>
      <c r="N9" s="1089"/>
      <c r="O9" s="1089"/>
      <c r="P9" s="1089"/>
      <c r="Q9" s="1089"/>
      <c r="S9" s="722"/>
      <c r="T9" s="722"/>
    </row>
    <row r="10" spans="1:20" s="308" customFormat="1" ht="14.25" customHeight="1" x14ac:dyDescent="0.35">
      <c r="A10" s="1091" t="s">
        <v>919</v>
      </c>
      <c r="B10" s="1091"/>
      <c r="C10" s="1091"/>
      <c r="D10" s="1091"/>
      <c r="E10" s="1091"/>
      <c r="F10" s="1091"/>
      <c r="G10" s="1091"/>
      <c r="H10" s="1091"/>
      <c r="I10" s="1091"/>
      <c r="J10" s="1091"/>
      <c r="K10" s="1091"/>
      <c r="L10" s="1091"/>
      <c r="M10" s="1091"/>
      <c r="N10" s="1091"/>
      <c r="O10" s="1091"/>
      <c r="P10" s="1091"/>
      <c r="Q10" s="1091"/>
      <c r="S10" s="855"/>
      <c r="T10" s="855"/>
    </row>
    <row r="11" spans="1:20" s="308" customFormat="1" ht="12" customHeight="1" x14ac:dyDescent="0.3">
      <c r="A11" s="304"/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7"/>
      <c r="M11" s="307"/>
      <c r="N11" s="307"/>
      <c r="S11" s="855"/>
      <c r="T11" s="855"/>
    </row>
    <row r="12" spans="1:20" s="308" customFormat="1" ht="15" customHeight="1" x14ac:dyDescent="0.35">
      <c r="A12" s="1091" t="s">
        <v>920</v>
      </c>
      <c r="B12" s="1091"/>
      <c r="C12" s="1091"/>
      <c r="D12" s="1091"/>
      <c r="E12" s="1091"/>
      <c r="F12" s="1091"/>
      <c r="G12" s="1091"/>
      <c r="H12" s="1091"/>
      <c r="I12" s="1091"/>
      <c r="J12" s="1091"/>
      <c r="K12" s="1091"/>
      <c r="L12" s="1091"/>
      <c r="M12" s="1091"/>
      <c r="N12" s="1091"/>
      <c r="O12" s="1091"/>
      <c r="P12" s="1091"/>
      <c r="Q12" s="1091"/>
      <c r="R12" s="307"/>
      <c r="S12" s="855"/>
      <c r="T12" s="855"/>
    </row>
    <row r="13" spans="1:20" s="308" customFormat="1" ht="10.5" customHeight="1" x14ac:dyDescent="0.3">
      <c r="A13" s="304"/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7"/>
      <c r="M13" s="307"/>
      <c r="N13" s="307"/>
      <c r="S13" s="855"/>
      <c r="T13" s="855"/>
    </row>
    <row r="14" spans="1:20" s="243" customFormat="1" ht="12" customHeight="1" x14ac:dyDescent="0.25">
      <c r="A14" s="243" t="s">
        <v>865</v>
      </c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S14" s="856"/>
      <c r="T14" s="856"/>
    </row>
    <row r="15" spans="1:20" s="247" customFormat="1" ht="14.25" customHeight="1" x14ac:dyDescent="0.35">
      <c r="A15" s="1087" t="s">
        <v>866</v>
      </c>
      <c r="B15" s="1087"/>
      <c r="C15" s="1087"/>
      <c r="D15" s="1087"/>
      <c r="E15" s="1087"/>
      <c r="F15" s="1087"/>
      <c r="G15" s="1087"/>
      <c r="H15" s="1087"/>
      <c r="I15" s="1087"/>
      <c r="J15" s="1087"/>
      <c r="K15" s="1087"/>
      <c r="L15" s="1087"/>
      <c r="M15" s="1087"/>
      <c r="N15" s="1087"/>
      <c r="O15" s="1087"/>
      <c r="P15" s="1087"/>
      <c r="S15" s="857"/>
      <c r="T15" s="857"/>
    </row>
    <row r="16" spans="1:20" s="247" customFormat="1" ht="14.25" customHeight="1" x14ac:dyDescent="0.25">
      <c r="A16" s="1087" t="s">
        <v>867</v>
      </c>
      <c r="B16" s="1087"/>
      <c r="C16" s="1087"/>
      <c r="D16" s="1087"/>
      <c r="E16" s="1087"/>
      <c r="F16" s="1087"/>
      <c r="G16" s="1087"/>
      <c r="H16" s="1087"/>
      <c r="I16" s="1087"/>
      <c r="J16" s="1087"/>
      <c r="K16" s="1087"/>
      <c r="S16" s="857"/>
      <c r="T16" s="857"/>
    </row>
    <row r="17" spans="1:23" s="247" customFormat="1" ht="14.25" customHeight="1" x14ac:dyDescent="0.25">
      <c r="A17" s="1087" t="s">
        <v>868</v>
      </c>
      <c r="B17" s="1087"/>
      <c r="C17" s="1087"/>
      <c r="D17" s="1087"/>
      <c r="E17" s="1087"/>
      <c r="F17" s="1087"/>
      <c r="G17" s="1087"/>
      <c r="H17" s="1087"/>
      <c r="I17" s="1087"/>
      <c r="J17" s="1087"/>
      <c r="K17" s="1087"/>
      <c r="S17" s="857"/>
      <c r="T17" s="857"/>
    </row>
    <row r="18" spans="1:23" s="247" customFormat="1" ht="14.25" customHeight="1" x14ac:dyDescent="0.25">
      <c r="A18" s="1087" t="s">
        <v>869</v>
      </c>
      <c r="B18" s="1087"/>
      <c r="C18" s="1087"/>
      <c r="D18" s="1087"/>
      <c r="E18" s="1087"/>
      <c r="F18" s="1087"/>
      <c r="G18" s="1087"/>
      <c r="H18" s="1087"/>
      <c r="I18" s="1087"/>
      <c r="J18" s="1087"/>
      <c r="K18" s="1087"/>
      <c r="L18" s="1087"/>
      <c r="M18" s="1087"/>
      <c r="N18" s="1087"/>
      <c r="O18" s="1087"/>
      <c r="P18" s="1087"/>
      <c r="Q18" s="1087"/>
      <c r="S18" s="857"/>
      <c r="T18" s="857"/>
    </row>
    <row r="19" spans="1:23" s="247" customFormat="1" ht="6.75" customHeight="1" x14ac:dyDescent="0.25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S19" s="857"/>
      <c r="T19" s="857"/>
    </row>
    <row r="20" spans="1:23" s="192" customFormat="1" ht="18.75" customHeight="1" x14ac:dyDescent="0.3">
      <c r="A20" s="1090" t="s">
        <v>874</v>
      </c>
      <c r="B20" s="1090"/>
      <c r="C20" s="1090"/>
      <c r="D20" s="1090"/>
      <c r="E20" s="1090"/>
      <c r="F20" s="1090"/>
      <c r="G20" s="1090"/>
      <c r="H20" s="1090"/>
      <c r="I20" s="1090"/>
      <c r="J20" s="1090"/>
      <c r="K20" s="1090"/>
      <c r="L20" s="1090"/>
      <c r="M20" s="1090"/>
      <c r="N20" s="1090"/>
      <c r="O20" s="1090"/>
      <c r="P20" s="1090"/>
      <c r="Q20" s="1090"/>
      <c r="R20" s="1090"/>
      <c r="S20" s="1090"/>
      <c r="T20" s="1090"/>
      <c r="U20" s="1090"/>
      <c r="V20" s="1090"/>
      <c r="W20" s="1090"/>
    </row>
    <row r="21" spans="1:23" s="192" customFormat="1" ht="6.75" customHeight="1" x14ac:dyDescent="0.3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747"/>
      <c r="T21" s="747"/>
      <c r="U21" s="248"/>
      <c r="V21" s="248"/>
      <c r="W21" s="248"/>
    </row>
    <row r="22" spans="1:23" s="306" customFormat="1" ht="18" customHeight="1" x14ac:dyDescent="0.3">
      <c r="A22" s="305"/>
      <c r="B22" s="1088" t="s">
        <v>875</v>
      </c>
      <c r="C22" s="1088"/>
      <c r="D22" s="1088"/>
      <c r="E22" s="1088"/>
      <c r="F22" s="1088"/>
      <c r="G22" s="1088"/>
      <c r="H22" s="1088"/>
      <c r="I22" s="1088"/>
      <c r="J22" s="1088"/>
      <c r="K22" s="1088"/>
      <c r="L22" s="1088"/>
      <c r="M22" s="1088"/>
      <c r="N22" s="1088"/>
      <c r="O22" s="1088"/>
      <c r="S22" s="320"/>
      <c r="T22" s="320"/>
    </row>
    <row r="23" spans="1:23" s="306" customFormat="1" ht="8.25" customHeight="1" x14ac:dyDescent="0.3">
      <c r="A23" s="305"/>
      <c r="B23" s="245"/>
      <c r="C23" s="245"/>
      <c r="D23" s="245"/>
      <c r="E23" s="245"/>
      <c r="F23" s="245"/>
      <c r="G23" s="245"/>
      <c r="H23" s="245"/>
      <c r="I23" s="245"/>
      <c r="J23" s="245"/>
      <c r="K23" s="245"/>
      <c r="L23" s="245"/>
      <c r="M23" s="245"/>
      <c r="N23" s="245"/>
      <c r="O23" s="245"/>
      <c r="S23" s="320"/>
      <c r="T23" s="320"/>
    </row>
    <row r="24" spans="1:23" s="306" customFormat="1" ht="33.75" customHeight="1" x14ac:dyDescent="0.3">
      <c r="A24" s="1089" t="s">
        <v>876</v>
      </c>
      <c r="B24" s="1089"/>
      <c r="C24" s="1089"/>
      <c r="D24" s="1089"/>
      <c r="E24" s="1089"/>
      <c r="F24" s="1089"/>
      <c r="G24" s="1089"/>
      <c r="H24" s="1089"/>
      <c r="I24" s="1089"/>
      <c r="J24" s="1089"/>
      <c r="K24" s="1089"/>
      <c r="L24" s="1089"/>
      <c r="M24" s="1089"/>
      <c r="N24" s="1089"/>
      <c r="O24" s="1089"/>
      <c r="P24" s="1089"/>
      <c r="Q24" s="1089"/>
      <c r="R24" s="1089"/>
      <c r="S24" s="320"/>
      <c r="T24" s="320"/>
    </row>
    <row r="25" spans="1:23" s="306" customFormat="1" ht="34.5" customHeight="1" x14ac:dyDescent="0.3">
      <c r="A25" s="1089" t="s">
        <v>864</v>
      </c>
      <c r="B25" s="1089"/>
      <c r="C25" s="1089"/>
      <c r="D25" s="1089"/>
      <c r="E25" s="1089"/>
      <c r="F25" s="1089"/>
      <c r="G25" s="1089"/>
      <c r="H25" s="1089"/>
      <c r="I25" s="1089"/>
      <c r="J25" s="1089"/>
      <c r="K25" s="1089"/>
      <c r="L25" s="1089"/>
      <c r="M25" s="1089"/>
      <c r="N25" s="1089"/>
      <c r="O25" s="1089"/>
      <c r="P25" s="1089"/>
      <c r="Q25" s="1089"/>
      <c r="S25" s="320"/>
      <c r="T25" s="320"/>
    </row>
    <row r="26" spans="1:23" s="306" customFormat="1" ht="12.75" customHeight="1" x14ac:dyDescent="0.3">
      <c r="A26" s="305"/>
      <c r="B26" s="305"/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305"/>
      <c r="P26" s="305"/>
      <c r="Q26" s="305"/>
      <c r="S26" s="320"/>
      <c r="T26" s="320"/>
    </row>
    <row r="27" spans="1:23" s="308" customFormat="1" ht="14.25" customHeight="1" x14ac:dyDescent="0.35">
      <c r="A27" s="1091" t="s">
        <v>917</v>
      </c>
      <c r="B27" s="1091"/>
      <c r="C27" s="1091"/>
      <c r="D27" s="1091"/>
      <c r="E27" s="1091"/>
      <c r="F27" s="1091"/>
      <c r="G27" s="1091"/>
      <c r="H27" s="1091"/>
      <c r="I27" s="1091"/>
      <c r="J27" s="1091"/>
      <c r="K27" s="1091"/>
      <c r="L27" s="1091"/>
      <c r="M27" s="1091"/>
      <c r="N27" s="1091"/>
      <c r="O27" s="1091"/>
      <c r="P27" s="1091"/>
      <c r="Q27" s="1091"/>
      <c r="S27" s="855"/>
      <c r="T27" s="855"/>
    </row>
    <row r="28" spans="1:23" s="308" customFormat="1" ht="12" customHeight="1" x14ac:dyDescent="0.3">
      <c r="A28" s="1091" t="s">
        <v>918</v>
      </c>
      <c r="B28" s="1091"/>
      <c r="C28" s="1091"/>
      <c r="D28" s="1091"/>
      <c r="E28" s="1091"/>
      <c r="F28" s="1091"/>
      <c r="G28" s="1091"/>
      <c r="H28" s="1091"/>
      <c r="I28" s="1091"/>
      <c r="J28" s="1091"/>
      <c r="K28" s="1091"/>
      <c r="L28" s="1091"/>
      <c r="M28" s="1091"/>
      <c r="N28" s="1091"/>
      <c r="O28" s="1091"/>
      <c r="P28" s="1091"/>
      <c r="Q28" s="1091"/>
      <c r="S28" s="855"/>
      <c r="T28" s="855"/>
    </row>
    <row r="29" spans="1:23" s="308" customFormat="1" ht="14.25" customHeight="1" x14ac:dyDescent="0.3">
      <c r="A29" s="1091"/>
      <c r="B29" s="1091"/>
      <c r="C29" s="1091"/>
      <c r="D29" s="1091"/>
      <c r="E29" s="1091"/>
      <c r="F29" s="1091"/>
      <c r="G29" s="1091"/>
      <c r="H29" s="1091"/>
      <c r="I29" s="1091"/>
      <c r="J29" s="1091"/>
      <c r="K29" s="1091"/>
      <c r="L29" s="1091"/>
      <c r="M29" s="1091"/>
      <c r="N29" s="1091"/>
      <c r="O29" s="1091"/>
      <c r="P29" s="1091"/>
      <c r="Q29" s="1091"/>
      <c r="S29" s="855"/>
      <c r="T29" s="855"/>
    </row>
    <row r="30" spans="1:23" s="243" customFormat="1" ht="10.5" customHeight="1" x14ac:dyDescent="0.25">
      <c r="A30" s="218"/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46"/>
      <c r="M30" s="246"/>
      <c r="N30" s="246"/>
      <c r="S30" s="856"/>
      <c r="T30" s="856"/>
    </row>
    <row r="31" spans="1:23" s="243" customFormat="1" ht="12" customHeight="1" x14ac:dyDescent="0.25">
      <c r="A31" s="243" t="s">
        <v>865</v>
      </c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S31" s="856"/>
      <c r="T31" s="856"/>
    </row>
    <row r="32" spans="1:23" s="247" customFormat="1" ht="15" customHeight="1" x14ac:dyDescent="0.35">
      <c r="A32" s="1087" t="s">
        <v>877</v>
      </c>
      <c r="B32" s="1087"/>
      <c r="C32" s="1087"/>
      <c r="D32" s="1087"/>
      <c r="E32" s="1087"/>
      <c r="F32" s="1087"/>
      <c r="G32" s="1087"/>
      <c r="H32" s="1087"/>
      <c r="I32" s="1087"/>
      <c r="J32" s="1087"/>
      <c r="K32" s="1087"/>
      <c r="L32" s="1087"/>
      <c r="M32" s="1087"/>
      <c r="N32" s="1087"/>
      <c r="O32" s="1087"/>
      <c r="P32" s="1087"/>
      <c r="Q32" s="1087"/>
      <c r="S32" s="857"/>
      <c r="T32" s="857"/>
    </row>
    <row r="33" spans="1:25" s="247" customFormat="1" ht="14.25" customHeight="1" x14ac:dyDescent="0.25">
      <c r="A33" s="1087" t="s">
        <v>878</v>
      </c>
      <c r="B33" s="1087"/>
      <c r="C33" s="1087"/>
      <c r="D33" s="1087"/>
      <c r="E33" s="1087"/>
      <c r="F33" s="1087"/>
      <c r="G33" s="1087"/>
      <c r="H33" s="1087"/>
      <c r="I33" s="1087"/>
      <c r="J33" s="1087"/>
      <c r="K33" s="1087"/>
      <c r="S33" s="857"/>
      <c r="T33" s="857"/>
    </row>
    <row r="34" spans="1:25" s="247" customFormat="1" ht="14.25" customHeight="1" x14ac:dyDescent="0.25">
      <c r="A34" s="1087" t="s">
        <v>868</v>
      </c>
      <c r="B34" s="1087"/>
      <c r="C34" s="1087"/>
      <c r="D34" s="1087"/>
      <c r="E34" s="1087"/>
      <c r="F34" s="1087"/>
      <c r="G34" s="1087"/>
      <c r="H34" s="1087"/>
      <c r="I34" s="1087"/>
      <c r="J34" s="1087"/>
      <c r="K34" s="1087"/>
      <c r="S34" s="857"/>
      <c r="T34" s="857"/>
    </row>
    <row r="35" spans="1:25" s="247" customFormat="1" ht="14.25" customHeight="1" x14ac:dyDescent="0.25">
      <c r="A35" s="1087" t="s">
        <v>869</v>
      </c>
      <c r="B35" s="1087"/>
      <c r="C35" s="1087"/>
      <c r="D35" s="1087"/>
      <c r="E35" s="1087"/>
      <c r="F35" s="1087"/>
      <c r="G35" s="1087"/>
      <c r="H35" s="1087"/>
      <c r="I35" s="1087"/>
      <c r="J35" s="1087"/>
      <c r="K35" s="1087"/>
      <c r="L35" s="1087"/>
      <c r="M35" s="1087"/>
      <c r="N35" s="1087"/>
      <c r="O35" s="1087"/>
      <c r="P35" s="1087"/>
      <c r="Q35" s="1087"/>
      <c r="S35" s="857"/>
      <c r="T35" s="857"/>
    </row>
    <row r="36" spans="1:25" s="247" customFormat="1" ht="12" customHeight="1" x14ac:dyDescent="0.25">
      <c r="A36" s="219"/>
      <c r="B36" s="219"/>
      <c r="C36" s="219"/>
      <c r="D36" s="219"/>
      <c r="E36" s="219"/>
      <c r="F36" s="219"/>
      <c r="G36" s="219"/>
      <c r="H36" s="219"/>
      <c r="I36" s="219"/>
      <c r="J36" s="219"/>
      <c r="K36" s="219"/>
      <c r="S36" s="857"/>
      <c r="T36" s="857"/>
    </row>
    <row r="37" spans="1:25" s="197" customFormat="1" ht="30" customHeight="1" x14ac:dyDescent="0.25">
      <c r="A37" s="1043" t="s">
        <v>1489</v>
      </c>
      <c r="B37" s="1043"/>
      <c r="C37" s="1043"/>
      <c r="D37" s="1043"/>
      <c r="E37" s="1043"/>
      <c r="F37" s="1043"/>
      <c r="G37" s="1043"/>
      <c r="H37" s="1043"/>
      <c r="I37" s="1043"/>
      <c r="J37" s="1043"/>
      <c r="K37" s="1043"/>
      <c r="L37" s="1043"/>
      <c r="M37" s="1043"/>
      <c r="N37" s="1043"/>
      <c r="O37" s="1043"/>
      <c r="P37" s="1043"/>
      <c r="Q37" s="1043"/>
      <c r="R37" s="1043"/>
      <c r="S37" s="266"/>
      <c r="T37" s="266"/>
      <c r="U37" s="266"/>
    </row>
    <row r="38" spans="1:25" s="249" customFormat="1" ht="12" customHeight="1" x14ac:dyDescent="0.2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747"/>
      <c r="T38" s="747"/>
      <c r="U38" s="248"/>
      <c r="V38" s="248"/>
      <c r="W38" s="248"/>
    </row>
    <row r="39" spans="1:25" ht="20.100000000000001" customHeight="1" x14ac:dyDescent="0.25">
      <c r="A39" s="1098" t="s">
        <v>1490</v>
      </c>
      <c r="B39" s="1098"/>
      <c r="C39" s="1098"/>
      <c r="D39" s="1098"/>
      <c r="E39" s="1098"/>
      <c r="F39" s="1098"/>
      <c r="G39" s="1098"/>
      <c r="H39" s="1098"/>
      <c r="I39" s="1098"/>
      <c r="J39" s="1098"/>
      <c r="K39" s="1098"/>
      <c r="L39" s="1098"/>
      <c r="M39" s="1098"/>
      <c r="N39" s="1098"/>
      <c r="O39" s="1098"/>
      <c r="P39" s="1098"/>
      <c r="Q39" s="1098"/>
    </row>
    <row r="40" spans="1:25" s="250" customFormat="1" ht="31.5" customHeight="1" x14ac:dyDescent="0.2">
      <c r="A40" s="1099" t="s">
        <v>870</v>
      </c>
      <c r="B40" s="1099" t="s">
        <v>151</v>
      </c>
      <c r="C40" s="1099" t="s">
        <v>154</v>
      </c>
      <c r="D40" s="1099" t="s">
        <v>122</v>
      </c>
      <c r="E40" s="1097" t="s">
        <v>136</v>
      </c>
      <c r="F40" s="1099" t="s">
        <v>123</v>
      </c>
      <c r="G40" s="1099"/>
      <c r="H40" s="1094" t="s">
        <v>257</v>
      </c>
      <c r="I40" s="1095"/>
      <c r="J40" s="1097" t="s">
        <v>124</v>
      </c>
      <c r="K40" s="1097" t="s">
        <v>260</v>
      </c>
      <c r="L40" s="1099" t="s">
        <v>20</v>
      </c>
      <c r="M40" s="1099" t="s">
        <v>21</v>
      </c>
      <c r="N40" s="1152" t="s">
        <v>125</v>
      </c>
      <c r="O40" s="1152"/>
      <c r="P40" s="1097" t="s">
        <v>871</v>
      </c>
      <c r="Q40" s="1096" t="s">
        <v>125</v>
      </c>
      <c r="R40" s="1096"/>
      <c r="S40" s="858"/>
      <c r="T40" s="858"/>
    </row>
    <row r="41" spans="1:25" s="250" customFormat="1" ht="15.75" customHeight="1" x14ac:dyDescent="0.2">
      <c r="A41" s="1099"/>
      <c r="B41" s="1099"/>
      <c r="C41" s="1099"/>
      <c r="D41" s="1112"/>
      <c r="E41" s="1097"/>
      <c r="F41" s="63" t="s">
        <v>126</v>
      </c>
      <c r="G41" s="63" t="s">
        <v>127</v>
      </c>
      <c r="H41" s="63" t="s">
        <v>258</v>
      </c>
      <c r="I41" s="63" t="s">
        <v>259</v>
      </c>
      <c r="J41" s="1097"/>
      <c r="K41" s="1097"/>
      <c r="L41" s="1099"/>
      <c r="M41" s="1099"/>
      <c r="N41" s="63" t="s">
        <v>18</v>
      </c>
      <c r="O41" s="63" t="s">
        <v>19</v>
      </c>
      <c r="P41" s="1097"/>
      <c r="Q41" s="303" t="s">
        <v>18</v>
      </c>
      <c r="R41" s="303" t="s">
        <v>19</v>
      </c>
      <c r="S41" s="859"/>
      <c r="T41" s="859"/>
    </row>
    <row r="42" spans="1:25" s="250" customFormat="1" ht="11.25" x14ac:dyDescent="0.2">
      <c r="A42" s="220">
        <v>1</v>
      </c>
      <c r="B42" s="221">
        <v>2</v>
      </c>
      <c r="C42" s="221">
        <v>3</v>
      </c>
      <c r="D42" s="220">
        <v>4</v>
      </c>
      <c r="E42" s="222">
        <v>5</v>
      </c>
      <c r="F42" s="220">
        <v>6</v>
      </c>
      <c r="G42" s="220">
        <v>7</v>
      </c>
      <c r="H42" s="64">
        <v>8</v>
      </c>
      <c r="I42" s="64">
        <v>9</v>
      </c>
      <c r="J42" s="220">
        <v>10</v>
      </c>
      <c r="K42" s="220">
        <v>11</v>
      </c>
      <c r="L42" s="220">
        <v>12</v>
      </c>
      <c r="M42" s="220">
        <v>13</v>
      </c>
      <c r="N42" s="220">
        <v>14</v>
      </c>
      <c r="O42" s="220">
        <v>15</v>
      </c>
      <c r="P42" s="220">
        <v>16</v>
      </c>
      <c r="Q42" s="220">
        <v>17</v>
      </c>
      <c r="R42" s="220">
        <v>18</v>
      </c>
      <c r="S42" s="860"/>
      <c r="T42" s="860"/>
    </row>
    <row r="43" spans="1:25" s="300" customFormat="1" ht="21.75" customHeight="1" x14ac:dyDescent="0.2">
      <c r="A43" s="1142" t="s">
        <v>148</v>
      </c>
      <c r="B43" s="1143"/>
      <c r="C43" s="1144"/>
      <c r="D43" s="1144"/>
      <c r="E43" s="1143"/>
      <c r="F43" s="1143"/>
      <c r="G43" s="1143"/>
      <c r="H43" s="1143"/>
      <c r="I43" s="1143"/>
      <c r="J43" s="1143"/>
      <c r="K43" s="1143"/>
      <c r="L43" s="1143"/>
      <c r="M43" s="1143"/>
      <c r="N43" s="1143"/>
      <c r="O43" s="1143"/>
      <c r="P43" s="1143"/>
      <c r="Q43" s="1143"/>
      <c r="R43" s="1145"/>
      <c r="S43" s="861"/>
      <c r="T43" s="861"/>
    </row>
    <row r="44" spans="1:25" s="300" customFormat="1" ht="16.5" customHeight="1" x14ac:dyDescent="0.2">
      <c r="A44" s="1146" t="s">
        <v>252</v>
      </c>
      <c r="B44" s="1147"/>
      <c r="C44" s="1147"/>
      <c r="D44" s="1147"/>
      <c r="E44" s="1147"/>
      <c r="F44" s="1147"/>
      <c r="G44" s="1147"/>
      <c r="H44" s="1147"/>
      <c r="I44" s="1147"/>
      <c r="J44" s="1147"/>
      <c r="K44" s="1147"/>
      <c r="L44" s="1147"/>
      <c r="M44" s="1147"/>
      <c r="N44" s="1147"/>
      <c r="O44" s="1147"/>
      <c r="P44" s="1147"/>
      <c r="Q44" s="1147"/>
      <c r="R44" s="1148"/>
      <c r="S44" s="862"/>
      <c r="T44" s="862"/>
    </row>
    <row r="45" spans="1:25" s="300" customFormat="1" ht="12" x14ac:dyDescent="0.2">
      <c r="A45" s="715" t="s">
        <v>149</v>
      </c>
      <c r="B45" s="1149" t="s">
        <v>152</v>
      </c>
      <c r="C45" s="1109" t="s">
        <v>155</v>
      </c>
      <c r="D45" s="97" t="s">
        <v>153</v>
      </c>
      <c r="E45" s="93"/>
      <c r="F45" s="97">
        <v>2</v>
      </c>
      <c r="G45" s="98">
        <v>410</v>
      </c>
      <c r="H45" s="97"/>
      <c r="I45" s="97"/>
      <c r="J45" s="226">
        <f>G45/F45</f>
        <v>205</v>
      </c>
      <c r="K45" s="105">
        <v>7.67</v>
      </c>
      <c r="L45" s="168" t="s">
        <v>130</v>
      </c>
      <c r="M45" s="228" t="s">
        <v>131</v>
      </c>
      <c r="N45" s="105">
        <f>ROUND(((F45*K45)/(3600)),5)</f>
        <v>4.2599999999999999E-3</v>
      </c>
      <c r="O45" s="105">
        <f>ROUND((G45*K45/1000000),5)</f>
        <v>3.14E-3</v>
      </c>
      <c r="P45" s="105">
        <v>95</v>
      </c>
      <c r="Q45" s="105">
        <f>ROUND((N45*(1-P45/100)),6)</f>
        <v>2.13E-4</v>
      </c>
      <c r="R45" s="105">
        <f>ROUND((O45*(1-P45/100)),6)</f>
        <v>1.5699999999999999E-4</v>
      </c>
      <c r="S45" s="302"/>
      <c r="T45" s="302"/>
    </row>
    <row r="46" spans="1:25" s="300" customFormat="1" ht="12" x14ac:dyDescent="0.2">
      <c r="A46" s="716" t="s">
        <v>150</v>
      </c>
      <c r="B46" s="1150"/>
      <c r="C46" s="1110"/>
      <c r="D46" s="94" t="s">
        <v>128</v>
      </c>
      <c r="E46" s="95"/>
      <c r="F46" s="94"/>
      <c r="G46" s="99"/>
      <c r="H46" s="94"/>
      <c r="I46" s="94"/>
      <c r="J46" s="94"/>
      <c r="K46" s="105">
        <v>1.9</v>
      </c>
      <c r="L46" s="168" t="s">
        <v>132</v>
      </c>
      <c r="M46" s="228" t="s">
        <v>133</v>
      </c>
      <c r="N46" s="105">
        <f>ROUND(((F45*K46)/(3600)),5)</f>
        <v>1.06E-3</v>
      </c>
      <c r="O46" s="105">
        <f>ROUND((G45*K46/1000000),5)</f>
        <v>7.7999999999999999E-4</v>
      </c>
      <c r="P46" s="105">
        <v>95</v>
      </c>
      <c r="Q46" s="105">
        <f>ROUND((N46*(1-P46/100)),6)</f>
        <v>5.3000000000000001E-5</v>
      </c>
      <c r="R46" s="105">
        <f>ROUND((O46*(1-P46/100)),6)</f>
        <v>3.8999999999999999E-5</v>
      </c>
      <c r="S46" s="302"/>
      <c r="T46" s="302"/>
    </row>
    <row r="47" spans="1:25" s="300" customFormat="1" ht="16.5" customHeight="1" x14ac:dyDescent="0.2">
      <c r="A47" s="223"/>
      <c r="B47" s="1151"/>
      <c r="C47" s="1111"/>
      <c r="D47" s="101"/>
      <c r="E47" s="125"/>
      <c r="F47" s="101"/>
      <c r="G47" s="102"/>
      <c r="H47" s="101"/>
      <c r="I47" s="101"/>
      <c r="J47" s="101"/>
      <c r="K47" s="105">
        <v>0.43</v>
      </c>
      <c r="L47" s="229" t="s">
        <v>129</v>
      </c>
      <c r="M47" s="228" t="s">
        <v>140</v>
      </c>
      <c r="N47" s="105">
        <f>ROUND(((F45*K47)/(3600)),5)</f>
        <v>2.4000000000000001E-4</v>
      </c>
      <c r="O47" s="105">
        <f>ROUND((G45*K47/1000000),5)</f>
        <v>1.8000000000000001E-4</v>
      </c>
      <c r="P47" s="105">
        <v>95</v>
      </c>
      <c r="Q47" s="105">
        <f>ROUND((N47*(1-P47/100)),6)</f>
        <v>1.2E-5</v>
      </c>
      <c r="R47" s="105">
        <f>ROUND((O47*(1-P47/100)),6)</f>
        <v>9.0000000000000002E-6</v>
      </c>
      <c r="S47" s="302"/>
      <c r="T47" s="302"/>
    </row>
    <row r="48" spans="1:25" s="300" customFormat="1" ht="12" x14ac:dyDescent="0.2">
      <c r="A48" s="223"/>
      <c r="B48" s="1106" t="s">
        <v>152</v>
      </c>
      <c r="C48" s="1109" t="s">
        <v>156</v>
      </c>
      <c r="D48" s="99" t="s">
        <v>134</v>
      </c>
      <c r="E48" s="98">
        <v>10</v>
      </c>
      <c r="F48" s="98"/>
      <c r="G48" s="98"/>
      <c r="H48" s="98">
        <v>14.21</v>
      </c>
      <c r="I48" s="97">
        <v>13713</v>
      </c>
      <c r="J48" s="97">
        <f>ROUND((I48/H48),0)</f>
        <v>965</v>
      </c>
      <c r="K48" s="227">
        <v>0.06</v>
      </c>
      <c r="L48" s="168" t="s">
        <v>132</v>
      </c>
      <c r="M48" s="228" t="s">
        <v>133</v>
      </c>
      <c r="N48" s="105">
        <f>ROUND((K48*H48/3600),5)</f>
        <v>2.4000000000000001E-4</v>
      </c>
      <c r="O48" s="105">
        <f>ROUND((K48*I48/1000000),5)</f>
        <v>8.1999999999999998E-4</v>
      </c>
      <c r="P48" s="105">
        <v>95</v>
      </c>
      <c r="Q48" s="105">
        <f>ROUND((N48*(1-P48/100)),5)</f>
        <v>1.0000000000000001E-5</v>
      </c>
      <c r="R48" s="105">
        <f t="shared" ref="R48:R50" si="0">ROUND((O48*(1-P48/100)),5)</f>
        <v>4.0000000000000003E-5</v>
      </c>
      <c r="S48" s="302"/>
      <c r="T48" s="302"/>
      <c r="W48" s="298"/>
      <c r="Y48" s="299"/>
    </row>
    <row r="49" spans="1:25" s="300" customFormat="1" ht="12" x14ac:dyDescent="0.2">
      <c r="A49" s="223"/>
      <c r="B49" s="1131"/>
      <c r="C49" s="1110"/>
      <c r="D49" s="232"/>
      <c r="E49" s="232"/>
      <c r="F49" s="99"/>
      <c r="G49" s="99"/>
      <c r="H49" s="99"/>
      <c r="I49" s="94"/>
      <c r="J49" s="224"/>
      <c r="K49" s="227">
        <v>4.4400000000000004</v>
      </c>
      <c r="L49" s="168" t="s">
        <v>130</v>
      </c>
      <c r="M49" s="228" t="s">
        <v>131</v>
      </c>
      <c r="N49" s="105">
        <f>ROUND((K49*H48/3600),5)</f>
        <v>1.753E-2</v>
      </c>
      <c r="O49" s="105">
        <f>ROUND((K49*I48/1000000),5)</f>
        <v>6.089E-2</v>
      </c>
      <c r="P49" s="105">
        <v>95</v>
      </c>
      <c r="Q49" s="105">
        <f>ROUND((N49*(1-P49/100)),5)</f>
        <v>8.8000000000000003E-4</v>
      </c>
      <c r="R49" s="105">
        <f t="shared" si="0"/>
        <v>3.0400000000000002E-3</v>
      </c>
      <c r="S49" s="302"/>
      <c r="T49" s="302"/>
      <c r="W49" s="298"/>
      <c r="Y49" s="299"/>
    </row>
    <row r="50" spans="1:25" s="300" customFormat="1" ht="12" x14ac:dyDescent="0.2">
      <c r="A50" s="223"/>
      <c r="B50" s="1131"/>
      <c r="C50" s="1110"/>
      <c r="D50" s="232"/>
      <c r="E50" s="232"/>
      <c r="F50" s="99"/>
      <c r="G50" s="99"/>
      <c r="H50" s="99"/>
      <c r="I50" s="94"/>
      <c r="J50" s="224"/>
      <c r="K50" s="227">
        <v>2.2000000000000002</v>
      </c>
      <c r="L50" s="168" t="s">
        <v>48</v>
      </c>
      <c r="M50" s="228" t="s">
        <v>49</v>
      </c>
      <c r="N50" s="105">
        <f>ROUND((K50*H48/3600),5)</f>
        <v>8.6800000000000002E-3</v>
      </c>
      <c r="O50" s="105">
        <f>ROUND((K50*I48/1000000),5)</f>
        <v>3.0169999999999999E-2</v>
      </c>
      <c r="P50" s="241"/>
      <c r="Q50" s="105">
        <f>ROUND((N50*(1-P50/100)),6)</f>
        <v>8.6800000000000002E-3</v>
      </c>
      <c r="R50" s="105">
        <f t="shared" si="0"/>
        <v>3.0169999999999999E-2</v>
      </c>
      <c r="S50" s="302"/>
      <c r="T50" s="302"/>
      <c r="W50" s="298"/>
      <c r="Y50" s="299"/>
    </row>
    <row r="51" spans="1:25" s="300" customFormat="1" ht="12" x14ac:dyDescent="0.2">
      <c r="A51" s="223"/>
      <c r="B51" s="1132"/>
      <c r="C51" s="1111"/>
      <c r="D51" s="242"/>
      <c r="E51" s="232"/>
      <c r="F51" s="102"/>
      <c r="G51" s="102"/>
      <c r="H51" s="102"/>
      <c r="I51" s="101"/>
      <c r="J51" s="238"/>
      <c r="K51" s="93">
        <v>2.1800000000000002</v>
      </c>
      <c r="L51" s="168" t="s">
        <v>135</v>
      </c>
      <c r="M51" s="228" t="s">
        <v>66</v>
      </c>
      <c r="N51" s="105">
        <f>ROUND((K51*H48/3600),5)</f>
        <v>8.6E-3</v>
      </c>
      <c r="O51" s="105">
        <f>ROUND((K51*I48/1000000),5)</f>
        <v>2.989E-2</v>
      </c>
      <c r="P51" s="241"/>
      <c r="Q51" s="105">
        <f>ROUND((N51*(1-P51/100)),6)</f>
        <v>8.6E-3</v>
      </c>
      <c r="R51" s="105">
        <f>ROUND((O51*(1-P51/100)),6)</f>
        <v>2.989E-2</v>
      </c>
      <c r="S51" s="302"/>
      <c r="T51" s="302"/>
      <c r="W51" s="298"/>
      <c r="Y51" s="299"/>
    </row>
    <row r="52" spans="1:25" s="300" customFormat="1" ht="12" x14ac:dyDescent="0.2">
      <c r="A52" s="223"/>
      <c r="B52" s="1125" t="s">
        <v>152</v>
      </c>
      <c r="C52" s="1128" t="s">
        <v>188</v>
      </c>
      <c r="D52" s="66" t="s">
        <v>137</v>
      </c>
      <c r="E52" s="65"/>
      <c r="F52" s="71">
        <v>0.81</v>
      </c>
      <c r="G52" s="942">
        <v>1177</v>
      </c>
      <c r="H52" s="66"/>
      <c r="I52" s="65"/>
      <c r="J52" s="943">
        <f>G52/F52</f>
        <v>1453.0864197530864</v>
      </c>
      <c r="K52" s="944">
        <v>10.69</v>
      </c>
      <c r="L52" s="945" t="s">
        <v>130</v>
      </c>
      <c r="M52" s="946" t="s">
        <v>131</v>
      </c>
      <c r="N52" s="75">
        <f>ROUND(((F52*K52)/(3600)),5)</f>
        <v>2.4099999999999998E-3</v>
      </c>
      <c r="O52" s="75">
        <f>ROUND((G52*K52/1000000),5)</f>
        <v>1.2579999999999999E-2</v>
      </c>
      <c r="P52" s="75">
        <v>95</v>
      </c>
      <c r="Q52" s="75">
        <f>ROUND((N52*(1-P52/100)),6)</f>
        <v>1.21E-4</v>
      </c>
      <c r="R52" s="75">
        <f t="shared" ref="R52:R55" si="1">ROUND((O52*(1-P52/100)),5)</f>
        <v>6.3000000000000003E-4</v>
      </c>
      <c r="S52" s="302" t="s">
        <v>1523</v>
      </c>
      <c r="T52" s="302"/>
    </row>
    <row r="53" spans="1:25" s="300" customFormat="1" ht="12" x14ac:dyDescent="0.2">
      <c r="A53" s="223"/>
      <c r="B53" s="1126"/>
      <c r="C53" s="1129"/>
      <c r="D53" s="68" t="s">
        <v>157</v>
      </c>
      <c r="E53" s="67"/>
      <c r="F53" s="76"/>
      <c r="G53" s="947"/>
      <c r="H53" s="68"/>
      <c r="I53" s="67"/>
      <c r="J53" s="67"/>
      <c r="K53" s="944">
        <v>0.92</v>
      </c>
      <c r="L53" s="945" t="s">
        <v>132</v>
      </c>
      <c r="M53" s="946" t="s">
        <v>133</v>
      </c>
      <c r="N53" s="75">
        <f>ROUND(((F52*K53)/(3600)),5)</f>
        <v>2.1000000000000001E-4</v>
      </c>
      <c r="O53" s="75">
        <f>ROUND((G52*K53/1000000),5)</f>
        <v>1.08E-3</v>
      </c>
      <c r="P53" s="75">
        <v>95</v>
      </c>
      <c r="Q53" s="75">
        <f>ROUND((N53*(1-P53/100)),5)</f>
        <v>1.0000000000000001E-5</v>
      </c>
      <c r="R53" s="75">
        <f t="shared" si="1"/>
        <v>5.0000000000000002E-5</v>
      </c>
      <c r="S53" s="302"/>
      <c r="T53" s="302"/>
    </row>
    <row r="54" spans="1:25" s="300" customFormat="1" ht="12" x14ac:dyDescent="0.2">
      <c r="A54" s="223"/>
      <c r="B54" s="1126"/>
      <c r="C54" s="1129"/>
      <c r="D54" s="68"/>
      <c r="E54" s="67"/>
      <c r="F54" s="76"/>
      <c r="G54" s="947"/>
      <c r="H54" s="68"/>
      <c r="I54" s="67"/>
      <c r="J54" s="67"/>
      <c r="K54" s="944">
        <v>1.4</v>
      </c>
      <c r="L54" s="948" t="s">
        <v>129</v>
      </c>
      <c r="M54" s="946" t="s">
        <v>140</v>
      </c>
      <c r="N54" s="75">
        <f>ROUND(((F52*K54)/(3600)),5)</f>
        <v>3.2000000000000003E-4</v>
      </c>
      <c r="O54" s="75">
        <f>ROUND((G52*K54/1000000),5)</f>
        <v>1.65E-3</v>
      </c>
      <c r="P54" s="75">
        <v>95</v>
      </c>
      <c r="Q54" s="75">
        <f>ROUND((N54*(1-P54/100)),6)</f>
        <v>1.5999999999999999E-5</v>
      </c>
      <c r="R54" s="75">
        <f t="shared" si="1"/>
        <v>8.0000000000000007E-5</v>
      </c>
      <c r="S54" s="302"/>
      <c r="T54" s="302"/>
    </row>
    <row r="55" spans="1:25" s="300" customFormat="1" ht="12" x14ac:dyDescent="0.2">
      <c r="A55" s="223"/>
      <c r="B55" s="1126"/>
      <c r="C55" s="1129"/>
      <c r="D55" s="68"/>
      <c r="E55" s="67"/>
      <c r="F55" s="949"/>
      <c r="G55" s="77"/>
      <c r="H55" s="950"/>
      <c r="I55" s="951"/>
      <c r="J55" s="951"/>
      <c r="K55" s="944">
        <v>3.3</v>
      </c>
      <c r="L55" s="945" t="s">
        <v>138</v>
      </c>
      <c r="M55" s="946" t="s">
        <v>139</v>
      </c>
      <c r="N55" s="75">
        <f>ROUND(((F52*K55)/(3600)),5)</f>
        <v>7.3999999999999999E-4</v>
      </c>
      <c r="O55" s="75">
        <f>ROUND((G52*K55/1000000),5)</f>
        <v>3.8800000000000002E-3</v>
      </c>
      <c r="P55" s="75">
        <v>95</v>
      </c>
      <c r="Q55" s="75">
        <f>ROUND((N55*(1-P55/100)),6)</f>
        <v>3.6999999999999998E-5</v>
      </c>
      <c r="R55" s="75">
        <f t="shared" si="1"/>
        <v>1.9000000000000001E-4</v>
      </c>
      <c r="S55" s="302"/>
      <c r="T55" s="302"/>
    </row>
    <row r="56" spans="1:25" s="300" customFormat="1" ht="12" x14ac:dyDescent="0.2">
      <c r="A56" s="223"/>
      <c r="B56" s="1126"/>
      <c r="C56" s="1129"/>
      <c r="D56" s="952"/>
      <c r="E56" s="953"/>
      <c r="F56" s="949"/>
      <c r="G56" s="77"/>
      <c r="H56" s="950"/>
      <c r="I56" s="951"/>
      <c r="J56" s="951"/>
      <c r="K56" s="944">
        <v>0.75</v>
      </c>
      <c r="L56" s="945" t="s">
        <v>141</v>
      </c>
      <c r="M56" s="946" t="s">
        <v>142</v>
      </c>
      <c r="N56" s="954">
        <f>ROUND(((F52*K56)/(3600)),5)</f>
        <v>1.7000000000000001E-4</v>
      </c>
      <c r="O56" s="954">
        <f>ROUND((G52*K56/1000000),5)</f>
        <v>8.8000000000000003E-4</v>
      </c>
      <c r="P56" s="75"/>
      <c r="Q56" s="75">
        <f>ROUND((N56*(1-P56/100)),8)</f>
        <v>1.7000000000000001E-4</v>
      </c>
      <c r="R56" s="75">
        <f>ROUND((O56*(1-P56/100)),8)</f>
        <v>8.8000000000000003E-4</v>
      </c>
      <c r="S56" s="302"/>
      <c r="T56" s="302"/>
    </row>
    <row r="57" spans="1:25" s="300" customFormat="1" ht="12" x14ac:dyDescent="0.2">
      <c r="A57" s="223"/>
      <c r="B57" s="1126"/>
      <c r="C57" s="1129"/>
      <c r="D57" s="950"/>
      <c r="E57" s="951"/>
      <c r="F57" s="949"/>
      <c r="G57" s="77"/>
      <c r="H57" s="950"/>
      <c r="I57" s="951"/>
      <c r="J57" s="951"/>
      <c r="K57" s="944">
        <v>1.5</v>
      </c>
      <c r="L57" s="955" t="s">
        <v>48</v>
      </c>
      <c r="M57" s="956" t="s">
        <v>49</v>
      </c>
      <c r="N57" s="75">
        <f>ROUND(((F52*K57)/(3600)),5)</f>
        <v>3.4000000000000002E-4</v>
      </c>
      <c r="O57" s="75">
        <f>ROUND((G52*K57/1000000),5)</f>
        <v>1.7700000000000001E-3</v>
      </c>
      <c r="P57" s="75"/>
      <c r="Q57" s="75">
        <f>ROUND((N57*(1-P57/100)),6)</f>
        <v>3.4000000000000002E-4</v>
      </c>
      <c r="R57" s="75">
        <f t="shared" ref="R57:R62" si="2">ROUND((O57*(1-P57/100)),5)</f>
        <v>1.7700000000000001E-3</v>
      </c>
      <c r="S57" s="302"/>
      <c r="T57" s="302"/>
    </row>
    <row r="58" spans="1:25" s="300" customFormat="1" ht="12" x14ac:dyDescent="0.2">
      <c r="A58" s="223"/>
      <c r="B58" s="1127"/>
      <c r="C58" s="1130"/>
      <c r="D58" s="957"/>
      <c r="E58" s="958"/>
      <c r="F58" s="959"/>
      <c r="G58" s="960"/>
      <c r="H58" s="957"/>
      <c r="I58" s="958"/>
      <c r="J58" s="958"/>
      <c r="K58" s="944">
        <v>13.3</v>
      </c>
      <c r="L58" s="945" t="s">
        <v>135</v>
      </c>
      <c r="M58" s="946" t="s">
        <v>66</v>
      </c>
      <c r="N58" s="75">
        <f>ROUND(((F52*K58)/(3600)),5)</f>
        <v>2.99E-3</v>
      </c>
      <c r="O58" s="75">
        <f>ROUND((G52*K58/1000000),5)</f>
        <v>1.5650000000000001E-2</v>
      </c>
      <c r="P58" s="75"/>
      <c r="Q58" s="75">
        <f>ROUND((N58*(1-P58/100)),5)</f>
        <v>2.99E-3</v>
      </c>
      <c r="R58" s="75">
        <f t="shared" si="2"/>
        <v>1.5650000000000001E-2</v>
      </c>
      <c r="S58" s="302"/>
      <c r="T58" s="302"/>
    </row>
    <row r="59" spans="1:25" s="300" customFormat="1" ht="12" x14ac:dyDescent="0.2">
      <c r="A59" s="223"/>
      <c r="B59" s="1100" t="s">
        <v>187</v>
      </c>
      <c r="C59" s="1103" t="s">
        <v>188</v>
      </c>
      <c r="D59" s="491" t="s">
        <v>137</v>
      </c>
      <c r="E59" s="490"/>
      <c r="F59" s="756">
        <v>1.25</v>
      </c>
      <c r="G59" s="757">
        <v>1351</v>
      </c>
      <c r="H59" s="491"/>
      <c r="I59" s="490"/>
      <c r="J59" s="758">
        <f>G59/F59</f>
        <v>1080.8</v>
      </c>
      <c r="K59" s="759">
        <v>10.69</v>
      </c>
      <c r="L59" s="760" t="s">
        <v>130</v>
      </c>
      <c r="M59" s="761" t="s">
        <v>131</v>
      </c>
      <c r="N59" s="762">
        <f>ROUND(((F59*K59)/(3600)),5)</f>
        <v>3.7100000000000002E-3</v>
      </c>
      <c r="O59" s="762">
        <f>ROUND((G59*K59/1000000),5)</f>
        <v>1.444E-2</v>
      </c>
      <c r="P59" s="762">
        <v>95</v>
      </c>
      <c r="Q59" s="762">
        <f>ROUND((N59*(1-P59/100)),6)</f>
        <v>1.8599999999999999E-4</v>
      </c>
      <c r="R59" s="762">
        <f t="shared" si="2"/>
        <v>7.2000000000000005E-4</v>
      </c>
      <c r="S59" s="302"/>
      <c r="T59" s="302"/>
    </row>
    <row r="60" spans="1:25" s="300" customFormat="1" ht="12" x14ac:dyDescent="0.2">
      <c r="A60" s="223"/>
      <c r="B60" s="1101"/>
      <c r="C60" s="1104"/>
      <c r="D60" s="763" t="s">
        <v>157</v>
      </c>
      <c r="E60" s="576"/>
      <c r="F60" s="764"/>
      <c r="G60" s="765"/>
      <c r="H60" s="763"/>
      <c r="I60" s="576"/>
      <c r="J60" s="576"/>
      <c r="K60" s="759">
        <v>0.92</v>
      </c>
      <c r="L60" s="760" t="s">
        <v>132</v>
      </c>
      <c r="M60" s="761" t="s">
        <v>133</v>
      </c>
      <c r="N60" s="762">
        <f>ROUND(((F59*K60)/(3600)),5)</f>
        <v>3.2000000000000003E-4</v>
      </c>
      <c r="O60" s="762">
        <f>ROUND((G59*K60/1000000),5)</f>
        <v>1.24E-3</v>
      </c>
      <c r="P60" s="762">
        <v>95</v>
      </c>
      <c r="Q60" s="762">
        <f>ROUND((N60*(1-P60/100)),5)</f>
        <v>2.0000000000000002E-5</v>
      </c>
      <c r="R60" s="762">
        <f t="shared" si="2"/>
        <v>6.0000000000000002E-5</v>
      </c>
      <c r="S60" s="302"/>
      <c r="T60" s="302"/>
    </row>
    <row r="61" spans="1:25" s="300" customFormat="1" ht="12" x14ac:dyDescent="0.2">
      <c r="A61" s="223"/>
      <c r="B61" s="1101"/>
      <c r="C61" s="1104"/>
      <c r="D61" s="763"/>
      <c r="E61" s="576"/>
      <c r="F61" s="764"/>
      <c r="G61" s="765"/>
      <c r="H61" s="763"/>
      <c r="I61" s="576"/>
      <c r="J61" s="576"/>
      <c r="K61" s="759">
        <v>1.4</v>
      </c>
      <c r="L61" s="766" t="s">
        <v>129</v>
      </c>
      <c r="M61" s="761" t="s">
        <v>140</v>
      </c>
      <c r="N61" s="762">
        <f>ROUND(((F59*K61)/(3600)),5)</f>
        <v>4.8999999999999998E-4</v>
      </c>
      <c r="O61" s="762">
        <f>ROUND((G59*K61/1000000),5)</f>
        <v>1.89E-3</v>
      </c>
      <c r="P61" s="762">
        <v>95</v>
      </c>
      <c r="Q61" s="762">
        <f>ROUND((N61*(1-P61/100)),6)</f>
        <v>2.5000000000000001E-5</v>
      </c>
      <c r="R61" s="762">
        <f t="shared" si="2"/>
        <v>9.0000000000000006E-5</v>
      </c>
      <c r="S61" s="302"/>
      <c r="T61" s="302"/>
    </row>
    <row r="62" spans="1:25" s="300" customFormat="1" ht="12" x14ac:dyDescent="0.2">
      <c r="A62" s="223"/>
      <c r="B62" s="1101"/>
      <c r="C62" s="1104"/>
      <c r="D62" s="763"/>
      <c r="E62" s="576"/>
      <c r="F62" s="767"/>
      <c r="G62" s="768"/>
      <c r="H62" s="769"/>
      <c r="I62" s="770"/>
      <c r="J62" s="770"/>
      <c r="K62" s="759">
        <v>3.3</v>
      </c>
      <c r="L62" s="760" t="s">
        <v>138</v>
      </c>
      <c r="M62" s="761" t="s">
        <v>139</v>
      </c>
      <c r="N62" s="762">
        <f>ROUND(((F59*K62)/(3600)),5)</f>
        <v>1.15E-3</v>
      </c>
      <c r="O62" s="762">
        <f>ROUND((G59*K62/1000000),5)</f>
        <v>4.4600000000000004E-3</v>
      </c>
      <c r="P62" s="762">
        <v>95</v>
      </c>
      <c r="Q62" s="762">
        <f>ROUND((N62*(1-P62/100)),6)</f>
        <v>5.8E-5</v>
      </c>
      <c r="R62" s="762">
        <f t="shared" si="2"/>
        <v>2.2000000000000001E-4</v>
      </c>
      <c r="S62" s="302"/>
      <c r="T62" s="302"/>
    </row>
    <row r="63" spans="1:25" s="300" customFormat="1" ht="12" x14ac:dyDescent="0.2">
      <c r="A63" s="223"/>
      <c r="B63" s="1101"/>
      <c r="C63" s="1104"/>
      <c r="D63" s="771"/>
      <c r="E63" s="772"/>
      <c r="F63" s="767"/>
      <c r="G63" s="768"/>
      <c r="H63" s="769"/>
      <c r="I63" s="770"/>
      <c r="J63" s="770"/>
      <c r="K63" s="759">
        <v>0.75</v>
      </c>
      <c r="L63" s="760" t="s">
        <v>141</v>
      </c>
      <c r="M63" s="761" t="s">
        <v>142</v>
      </c>
      <c r="N63" s="773">
        <f>ROUND(((F59*K63)/(3600)),5)</f>
        <v>2.5999999999999998E-4</v>
      </c>
      <c r="O63" s="773">
        <f>ROUND((G59*K63/1000000),5)</f>
        <v>1.01E-3</v>
      </c>
      <c r="P63" s="762"/>
      <c r="Q63" s="762">
        <f>ROUND((N63*(1-P63/100)),8)</f>
        <v>2.5999999999999998E-4</v>
      </c>
      <c r="R63" s="762">
        <f>ROUND((O63*(1-P63/100)),8)</f>
        <v>1.01E-3</v>
      </c>
      <c r="S63" s="302"/>
      <c r="T63" s="302"/>
    </row>
    <row r="64" spans="1:25" s="300" customFormat="1" ht="12" x14ac:dyDescent="0.2">
      <c r="A64" s="223"/>
      <c r="B64" s="1101"/>
      <c r="C64" s="1104"/>
      <c r="D64" s="769"/>
      <c r="E64" s="770"/>
      <c r="F64" s="767"/>
      <c r="G64" s="768"/>
      <c r="H64" s="769"/>
      <c r="I64" s="770"/>
      <c r="J64" s="770"/>
      <c r="K64" s="759">
        <v>1.5</v>
      </c>
      <c r="L64" s="774" t="s">
        <v>48</v>
      </c>
      <c r="M64" s="775" t="s">
        <v>49</v>
      </c>
      <c r="N64" s="762">
        <f>ROUND(((F59*K64)/(3600)),5)</f>
        <v>5.1999999999999995E-4</v>
      </c>
      <c r="O64" s="762">
        <f>ROUND((G59*K64/1000000),5)</f>
        <v>2.0300000000000001E-3</v>
      </c>
      <c r="P64" s="762"/>
      <c r="Q64" s="762">
        <f>ROUND((N64*(1-P64/100)),6)</f>
        <v>5.1999999999999995E-4</v>
      </c>
      <c r="R64" s="762">
        <f t="shared" ref="R64:R69" si="3">ROUND((O64*(1-P64/100)),5)</f>
        <v>2.0300000000000001E-3</v>
      </c>
      <c r="S64" s="302"/>
      <c r="T64" s="302"/>
    </row>
    <row r="65" spans="1:20" s="300" customFormat="1" ht="12" x14ac:dyDescent="0.2">
      <c r="A65" s="223"/>
      <c r="B65" s="1102"/>
      <c r="C65" s="1105"/>
      <c r="D65" s="776"/>
      <c r="E65" s="777"/>
      <c r="F65" s="778"/>
      <c r="G65" s="779"/>
      <c r="H65" s="776"/>
      <c r="I65" s="777"/>
      <c r="J65" s="777"/>
      <c r="K65" s="759">
        <v>13.3</v>
      </c>
      <c r="L65" s="760" t="s">
        <v>135</v>
      </c>
      <c r="M65" s="761" t="s">
        <v>66</v>
      </c>
      <c r="N65" s="762">
        <f>ROUND(((F59*K65)/(3600)),5)</f>
        <v>4.62E-3</v>
      </c>
      <c r="O65" s="762">
        <f>ROUND((G59*K65/1000000),5)</f>
        <v>1.797E-2</v>
      </c>
      <c r="P65" s="762"/>
      <c r="Q65" s="762">
        <f>ROUND((N65*(1-P65/100)),5)</f>
        <v>4.62E-3</v>
      </c>
      <c r="R65" s="762">
        <f t="shared" si="3"/>
        <v>1.797E-2</v>
      </c>
      <c r="S65" s="302"/>
      <c r="T65" s="302"/>
    </row>
    <row r="66" spans="1:20" s="300" customFormat="1" ht="12" x14ac:dyDescent="0.2">
      <c r="A66" s="223"/>
      <c r="B66" s="1100" t="s">
        <v>189</v>
      </c>
      <c r="C66" s="1103" t="s">
        <v>188</v>
      </c>
      <c r="D66" s="491" t="s">
        <v>137</v>
      </c>
      <c r="E66" s="490"/>
      <c r="F66" s="756">
        <v>0.63</v>
      </c>
      <c r="G66" s="757">
        <v>917</v>
      </c>
      <c r="H66" s="491"/>
      <c r="I66" s="490"/>
      <c r="J66" s="758">
        <f>G66/F66</f>
        <v>1455.5555555555557</v>
      </c>
      <c r="K66" s="759">
        <v>10.69</v>
      </c>
      <c r="L66" s="760" t="s">
        <v>130</v>
      </c>
      <c r="M66" s="761" t="s">
        <v>131</v>
      </c>
      <c r="N66" s="762">
        <f>ROUND(((F66*K66)/(3600)),5)</f>
        <v>1.8699999999999999E-3</v>
      </c>
      <c r="O66" s="762">
        <f>ROUND((G66*K66/1000000),5)</f>
        <v>9.7999999999999997E-3</v>
      </c>
      <c r="P66" s="762">
        <v>95</v>
      </c>
      <c r="Q66" s="762">
        <f>ROUND((N66*(1-P66/100)),6)</f>
        <v>9.3999999999999994E-5</v>
      </c>
      <c r="R66" s="762">
        <f t="shared" si="3"/>
        <v>4.8999999999999998E-4</v>
      </c>
      <c r="S66" s="302"/>
      <c r="T66" s="302"/>
    </row>
    <row r="67" spans="1:20" s="300" customFormat="1" ht="12" x14ac:dyDescent="0.2">
      <c r="A67" s="223"/>
      <c r="B67" s="1101"/>
      <c r="C67" s="1104"/>
      <c r="D67" s="763" t="s">
        <v>157</v>
      </c>
      <c r="E67" s="576"/>
      <c r="F67" s="764"/>
      <c r="G67" s="765"/>
      <c r="H67" s="763"/>
      <c r="I67" s="576"/>
      <c r="J67" s="576"/>
      <c r="K67" s="759">
        <v>0.92</v>
      </c>
      <c r="L67" s="760" t="s">
        <v>132</v>
      </c>
      <c r="M67" s="761" t="s">
        <v>133</v>
      </c>
      <c r="N67" s="762">
        <f>ROUND(((F66*K67)/(3600)),5)</f>
        <v>1.6000000000000001E-4</v>
      </c>
      <c r="O67" s="762">
        <f>ROUND((G66*K67/1000000),5)</f>
        <v>8.4000000000000003E-4</v>
      </c>
      <c r="P67" s="762">
        <v>95</v>
      </c>
      <c r="Q67" s="762">
        <f>ROUND((N67*(1-P67/100)),5)</f>
        <v>1.0000000000000001E-5</v>
      </c>
      <c r="R67" s="762">
        <f t="shared" si="3"/>
        <v>4.0000000000000003E-5</v>
      </c>
      <c r="S67" s="302"/>
      <c r="T67" s="302"/>
    </row>
    <row r="68" spans="1:20" s="300" customFormat="1" ht="12" x14ac:dyDescent="0.2">
      <c r="A68" s="223"/>
      <c r="B68" s="1101"/>
      <c r="C68" s="1104"/>
      <c r="D68" s="763"/>
      <c r="E68" s="576"/>
      <c r="F68" s="764"/>
      <c r="G68" s="765"/>
      <c r="H68" s="763"/>
      <c r="I68" s="576"/>
      <c r="J68" s="576"/>
      <c r="K68" s="759">
        <v>1.4</v>
      </c>
      <c r="L68" s="766" t="s">
        <v>129</v>
      </c>
      <c r="M68" s="761" t="s">
        <v>140</v>
      </c>
      <c r="N68" s="762">
        <f>ROUND(((F66*K68)/(3600)),5)</f>
        <v>2.5000000000000001E-4</v>
      </c>
      <c r="O68" s="762">
        <f>ROUND((G66*K68/1000000),5)</f>
        <v>1.2800000000000001E-3</v>
      </c>
      <c r="P68" s="762">
        <v>95</v>
      </c>
      <c r="Q68" s="762">
        <f>ROUND((N68*(1-P68/100)),6)</f>
        <v>1.2999999999999999E-5</v>
      </c>
      <c r="R68" s="762">
        <f t="shared" si="3"/>
        <v>6.0000000000000002E-5</v>
      </c>
      <c r="S68" s="302"/>
      <c r="T68" s="302"/>
    </row>
    <row r="69" spans="1:20" s="300" customFormat="1" ht="12" x14ac:dyDescent="0.2">
      <c r="A69" s="223"/>
      <c r="B69" s="1101"/>
      <c r="C69" s="1104"/>
      <c r="D69" s="763"/>
      <c r="E69" s="576"/>
      <c r="F69" s="767"/>
      <c r="G69" s="768"/>
      <c r="H69" s="769"/>
      <c r="I69" s="770"/>
      <c r="J69" s="770"/>
      <c r="K69" s="759">
        <v>3.3</v>
      </c>
      <c r="L69" s="760" t="s">
        <v>138</v>
      </c>
      <c r="M69" s="761" t="s">
        <v>139</v>
      </c>
      <c r="N69" s="762">
        <f>ROUND(((F66*K69)/(3600)),5)</f>
        <v>5.8E-4</v>
      </c>
      <c r="O69" s="762">
        <f>ROUND((G66*K69/1000000),5)</f>
        <v>3.0300000000000001E-3</v>
      </c>
      <c r="P69" s="762">
        <v>95</v>
      </c>
      <c r="Q69" s="762">
        <f>ROUND((N69*(1-P69/100)),6)</f>
        <v>2.9E-5</v>
      </c>
      <c r="R69" s="762">
        <f t="shared" si="3"/>
        <v>1.4999999999999999E-4</v>
      </c>
      <c r="S69" s="302"/>
      <c r="T69" s="302"/>
    </row>
    <row r="70" spans="1:20" s="300" customFormat="1" ht="12" x14ac:dyDescent="0.2">
      <c r="A70" s="223"/>
      <c r="B70" s="1101"/>
      <c r="C70" s="1104"/>
      <c r="D70" s="771"/>
      <c r="E70" s="772"/>
      <c r="F70" s="767"/>
      <c r="G70" s="768"/>
      <c r="H70" s="769"/>
      <c r="I70" s="770"/>
      <c r="J70" s="770"/>
      <c r="K70" s="759">
        <v>0.75</v>
      </c>
      <c r="L70" s="760" t="s">
        <v>141</v>
      </c>
      <c r="M70" s="761" t="s">
        <v>142</v>
      </c>
      <c r="N70" s="773">
        <f>ROUND(((F66*K70)/(3600)),5)</f>
        <v>1.2999999999999999E-4</v>
      </c>
      <c r="O70" s="773">
        <f>ROUND((G66*K70/1000000),5)</f>
        <v>6.8999999999999997E-4</v>
      </c>
      <c r="P70" s="762"/>
      <c r="Q70" s="762">
        <f>ROUND((N70*(1-P70/100)),8)</f>
        <v>1.2999999999999999E-4</v>
      </c>
      <c r="R70" s="762">
        <f>ROUND((O70*(1-P70/100)),8)</f>
        <v>6.8999999999999997E-4</v>
      </c>
      <c r="S70" s="302"/>
      <c r="T70" s="302"/>
    </row>
    <row r="71" spans="1:20" s="300" customFormat="1" ht="12" x14ac:dyDescent="0.2">
      <c r="A71" s="223"/>
      <c r="B71" s="1101"/>
      <c r="C71" s="1104"/>
      <c r="D71" s="769"/>
      <c r="E71" s="770"/>
      <c r="F71" s="767"/>
      <c r="G71" s="768"/>
      <c r="H71" s="769"/>
      <c r="I71" s="770"/>
      <c r="J71" s="770"/>
      <c r="K71" s="759">
        <v>1.5</v>
      </c>
      <c r="L71" s="774" t="s">
        <v>48</v>
      </c>
      <c r="M71" s="775" t="s">
        <v>49</v>
      </c>
      <c r="N71" s="762">
        <f>ROUND(((F66*K71)/(3600)),5)</f>
        <v>2.5999999999999998E-4</v>
      </c>
      <c r="O71" s="762">
        <f>ROUND((G66*K71/1000000),5)</f>
        <v>1.3799999999999999E-3</v>
      </c>
      <c r="P71" s="762"/>
      <c r="Q71" s="762">
        <f>ROUND((N71*(1-P71/100)),6)</f>
        <v>2.5999999999999998E-4</v>
      </c>
      <c r="R71" s="762">
        <f t="shared" ref="R71:R72" si="4">ROUND((O71*(1-P71/100)),5)</f>
        <v>1.3799999999999999E-3</v>
      </c>
      <c r="S71" s="302"/>
      <c r="T71" s="302"/>
    </row>
    <row r="72" spans="1:20" s="300" customFormat="1" ht="12" x14ac:dyDescent="0.2">
      <c r="A72" s="223"/>
      <c r="B72" s="1102"/>
      <c r="C72" s="1105"/>
      <c r="D72" s="776"/>
      <c r="E72" s="777"/>
      <c r="F72" s="778"/>
      <c r="G72" s="779"/>
      <c r="H72" s="776"/>
      <c r="I72" s="777"/>
      <c r="J72" s="777"/>
      <c r="K72" s="759">
        <v>13.3</v>
      </c>
      <c r="L72" s="760" t="s">
        <v>135</v>
      </c>
      <c r="M72" s="761" t="s">
        <v>66</v>
      </c>
      <c r="N72" s="762">
        <f>ROUND(((F66*K72)/(3600)),5)</f>
        <v>2.33E-3</v>
      </c>
      <c r="O72" s="762">
        <f>ROUND((G66*K72/1000000),5)</f>
        <v>1.2200000000000001E-2</v>
      </c>
      <c r="P72" s="762"/>
      <c r="Q72" s="762">
        <f>ROUND((N72*(1-P72/100)),5)</f>
        <v>2.33E-3</v>
      </c>
      <c r="R72" s="762">
        <f t="shared" si="4"/>
        <v>1.2200000000000001E-2</v>
      </c>
      <c r="S72" s="302"/>
      <c r="T72" s="302"/>
    </row>
    <row r="73" spans="1:20" s="300" customFormat="1" ht="12" x14ac:dyDescent="0.2">
      <c r="A73" s="223"/>
      <c r="B73" s="1133" t="s">
        <v>190</v>
      </c>
      <c r="C73" s="1103" t="s">
        <v>155</v>
      </c>
      <c r="D73" s="490" t="s">
        <v>153</v>
      </c>
      <c r="E73" s="756"/>
      <c r="F73" s="490">
        <v>0.9</v>
      </c>
      <c r="G73" s="491">
        <v>1368</v>
      </c>
      <c r="H73" s="491"/>
      <c r="I73" s="490"/>
      <c r="J73" s="758">
        <f>G73/F73</f>
        <v>1520</v>
      </c>
      <c r="K73" s="762">
        <v>7.67</v>
      </c>
      <c r="L73" s="760" t="s">
        <v>130</v>
      </c>
      <c r="M73" s="761" t="s">
        <v>131</v>
      </c>
      <c r="N73" s="762">
        <f>ROUND(((F73*K73)/(3600)),5)</f>
        <v>1.92E-3</v>
      </c>
      <c r="O73" s="762">
        <f>ROUND((G73*K73/1000000),5)</f>
        <v>1.0489999999999999E-2</v>
      </c>
      <c r="P73" s="762">
        <v>95</v>
      </c>
      <c r="Q73" s="762">
        <f>ROUND((N73*(1-P73/100)),6)</f>
        <v>9.6000000000000002E-5</v>
      </c>
      <c r="R73" s="762">
        <f>ROUND((O73*(1-P73/100)),6)</f>
        <v>5.2499999999999997E-4</v>
      </c>
      <c r="S73" s="302"/>
      <c r="T73" s="302"/>
    </row>
    <row r="74" spans="1:20" s="300" customFormat="1" ht="12" x14ac:dyDescent="0.2">
      <c r="A74" s="223"/>
      <c r="B74" s="1134"/>
      <c r="C74" s="1104"/>
      <c r="D74" s="576" t="s">
        <v>128</v>
      </c>
      <c r="E74" s="764"/>
      <c r="F74" s="576"/>
      <c r="G74" s="763"/>
      <c r="H74" s="763"/>
      <c r="I74" s="576"/>
      <c r="J74" s="576"/>
      <c r="K74" s="762">
        <v>1.9</v>
      </c>
      <c r="L74" s="760" t="s">
        <v>132</v>
      </c>
      <c r="M74" s="761" t="s">
        <v>133</v>
      </c>
      <c r="N74" s="762">
        <f>ROUND(((F73*K74)/(3600)),5)</f>
        <v>4.8000000000000001E-4</v>
      </c>
      <c r="O74" s="762">
        <f>ROUND((G73*K74/1000000),5)</f>
        <v>2.5999999999999999E-3</v>
      </c>
      <c r="P74" s="762">
        <v>95</v>
      </c>
      <c r="Q74" s="762">
        <f>ROUND((N74*(1-P74/100)),6)</f>
        <v>2.4000000000000001E-5</v>
      </c>
      <c r="R74" s="762">
        <f>ROUND((O74*(1-P74/100)),6)</f>
        <v>1.2999999999999999E-4</v>
      </c>
      <c r="S74" s="302"/>
      <c r="T74" s="302"/>
    </row>
    <row r="75" spans="1:20" s="300" customFormat="1" ht="12" x14ac:dyDescent="0.2">
      <c r="A75" s="223"/>
      <c r="B75" s="1135"/>
      <c r="C75" s="1105"/>
      <c r="D75" s="780"/>
      <c r="E75" s="781"/>
      <c r="F75" s="780"/>
      <c r="G75" s="782"/>
      <c r="H75" s="782"/>
      <c r="I75" s="780"/>
      <c r="J75" s="780"/>
      <c r="K75" s="762">
        <v>0.43</v>
      </c>
      <c r="L75" s="766" t="s">
        <v>129</v>
      </c>
      <c r="M75" s="761" t="s">
        <v>140</v>
      </c>
      <c r="N75" s="762">
        <f>ROUND(((F73*K75)/(3600)),5)</f>
        <v>1.1E-4</v>
      </c>
      <c r="O75" s="762">
        <f>ROUND((G73*K75/1000000),5)</f>
        <v>5.9000000000000003E-4</v>
      </c>
      <c r="P75" s="762">
        <v>95</v>
      </c>
      <c r="Q75" s="762">
        <f>ROUND((N75*(1-P75/100)),6)</f>
        <v>6.0000000000000002E-6</v>
      </c>
      <c r="R75" s="762">
        <f>ROUND((O75*(1-P75/100)),6)</f>
        <v>3.0000000000000001E-5</v>
      </c>
      <c r="S75" s="302"/>
      <c r="T75" s="302"/>
    </row>
    <row r="76" spans="1:20" s="300" customFormat="1" ht="12" x14ac:dyDescent="0.2">
      <c r="A76" s="224"/>
      <c r="B76" s="1100" t="s">
        <v>218</v>
      </c>
      <c r="C76" s="1103" t="s">
        <v>188</v>
      </c>
      <c r="D76" s="491" t="s">
        <v>137</v>
      </c>
      <c r="E76" s="490"/>
      <c r="F76" s="756">
        <v>0.63</v>
      </c>
      <c r="G76" s="757">
        <v>149</v>
      </c>
      <c r="H76" s="491"/>
      <c r="I76" s="490"/>
      <c r="J76" s="758">
        <f>G76/F76</f>
        <v>236.50793650793651</v>
      </c>
      <c r="K76" s="759">
        <v>10.69</v>
      </c>
      <c r="L76" s="760" t="s">
        <v>130</v>
      </c>
      <c r="M76" s="761" t="s">
        <v>131</v>
      </c>
      <c r="N76" s="762">
        <f>ROUND(((F76*K76)/(3600)),5)</f>
        <v>1.8699999999999999E-3</v>
      </c>
      <c r="O76" s="762">
        <f>ROUND((G76*K76/1000000),5)</f>
        <v>1.5900000000000001E-3</v>
      </c>
      <c r="P76" s="762">
        <v>95</v>
      </c>
      <c r="Q76" s="762">
        <f>ROUND((N76*(1-P76/100)),6)</f>
        <v>9.3999999999999994E-5</v>
      </c>
      <c r="R76" s="762">
        <f t="shared" ref="R76:R79" si="5">ROUND((O76*(1-P76/100)),5)</f>
        <v>8.0000000000000007E-5</v>
      </c>
      <c r="S76" s="302"/>
      <c r="T76" s="302"/>
    </row>
    <row r="77" spans="1:20" s="300" customFormat="1" ht="12" x14ac:dyDescent="0.2">
      <c r="A77" s="224"/>
      <c r="B77" s="1101"/>
      <c r="C77" s="1104"/>
      <c r="D77" s="763" t="s">
        <v>157</v>
      </c>
      <c r="E77" s="576"/>
      <c r="F77" s="764"/>
      <c r="G77" s="765"/>
      <c r="H77" s="763"/>
      <c r="I77" s="576"/>
      <c r="J77" s="576"/>
      <c r="K77" s="759">
        <v>0.92</v>
      </c>
      <c r="L77" s="760" t="s">
        <v>132</v>
      </c>
      <c r="M77" s="761" t="s">
        <v>133</v>
      </c>
      <c r="N77" s="762">
        <f>ROUND(((F76*K77)/(3600)),5)</f>
        <v>1.6000000000000001E-4</v>
      </c>
      <c r="O77" s="762">
        <f>ROUND((G76*K77/1000000),5)</f>
        <v>1.3999999999999999E-4</v>
      </c>
      <c r="P77" s="762">
        <v>95</v>
      </c>
      <c r="Q77" s="762">
        <f>ROUND((N77*(1-P77/100)),5)</f>
        <v>1.0000000000000001E-5</v>
      </c>
      <c r="R77" s="762">
        <f t="shared" si="5"/>
        <v>1.0000000000000001E-5</v>
      </c>
      <c r="S77" s="302"/>
      <c r="T77" s="302"/>
    </row>
    <row r="78" spans="1:20" s="300" customFormat="1" ht="12" x14ac:dyDescent="0.2">
      <c r="A78" s="224"/>
      <c r="B78" s="1101"/>
      <c r="C78" s="1104"/>
      <c r="D78" s="763"/>
      <c r="E78" s="576"/>
      <c r="F78" s="764"/>
      <c r="G78" s="765"/>
      <c r="H78" s="763"/>
      <c r="I78" s="576"/>
      <c r="J78" s="576"/>
      <c r="K78" s="759">
        <v>1.4</v>
      </c>
      <c r="L78" s="766" t="s">
        <v>129</v>
      </c>
      <c r="M78" s="761" t="s">
        <v>140</v>
      </c>
      <c r="N78" s="762">
        <f>ROUND(((F76*K78)/(3600)),5)</f>
        <v>2.5000000000000001E-4</v>
      </c>
      <c r="O78" s="762">
        <f>ROUND((G76*K78/1000000),5)</f>
        <v>2.1000000000000001E-4</v>
      </c>
      <c r="P78" s="762">
        <v>95</v>
      </c>
      <c r="Q78" s="762">
        <f>ROUND((N78*(1-P78/100)),6)</f>
        <v>1.2999999999999999E-5</v>
      </c>
      <c r="R78" s="762">
        <f t="shared" si="5"/>
        <v>1.0000000000000001E-5</v>
      </c>
      <c r="S78" s="302"/>
      <c r="T78" s="302"/>
    </row>
    <row r="79" spans="1:20" s="300" customFormat="1" ht="12" x14ac:dyDescent="0.2">
      <c r="A79" s="224"/>
      <c r="B79" s="1101"/>
      <c r="C79" s="1104"/>
      <c r="D79" s="763"/>
      <c r="E79" s="576"/>
      <c r="F79" s="767"/>
      <c r="G79" s="768"/>
      <c r="H79" s="769"/>
      <c r="I79" s="770"/>
      <c r="J79" s="770"/>
      <c r="K79" s="759">
        <v>3.3</v>
      </c>
      <c r="L79" s="760" t="s">
        <v>138</v>
      </c>
      <c r="M79" s="761" t="s">
        <v>139</v>
      </c>
      <c r="N79" s="762">
        <f>ROUND(((F76*K79)/(3600)),5)</f>
        <v>5.8E-4</v>
      </c>
      <c r="O79" s="762">
        <f>ROUND((G76*K79/1000000),5)</f>
        <v>4.8999999999999998E-4</v>
      </c>
      <c r="P79" s="762">
        <v>95</v>
      </c>
      <c r="Q79" s="762">
        <f>ROUND((N79*(1-P79/100)),6)</f>
        <v>2.9E-5</v>
      </c>
      <c r="R79" s="762">
        <f t="shared" si="5"/>
        <v>2.0000000000000002E-5</v>
      </c>
      <c r="S79" s="302"/>
      <c r="T79" s="302"/>
    </row>
    <row r="80" spans="1:20" s="300" customFormat="1" ht="12" x14ac:dyDescent="0.2">
      <c r="A80" s="224"/>
      <c r="B80" s="1101"/>
      <c r="C80" s="1104"/>
      <c r="D80" s="771"/>
      <c r="E80" s="772"/>
      <c r="F80" s="767"/>
      <c r="G80" s="768"/>
      <c r="H80" s="769"/>
      <c r="I80" s="770"/>
      <c r="J80" s="770"/>
      <c r="K80" s="759">
        <v>0.75</v>
      </c>
      <c r="L80" s="760" t="s">
        <v>141</v>
      </c>
      <c r="M80" s="761" t="s">
        <v>142</v>
      </c>
      <c r="N80" s="773">
        <f>ROUND(((F76*K80)/(3600)),5)</f>
        <v>1.2999999999999999E-4</v>
      </c>
      <c r="O80" s="773">
        <f>ROUND((G76*K80/1000000),5)</f>
        <v>1.1E-4</v>
      </c>
      <c r="P80" s="762"/>
      <c r="Q80" s="762">
        <f>ROUND((N80*(1-P80/100)),8)</f>
        <v>1.2999999999999999E-4</v>
      </c>
      <c r="R80" s="762">
        <f>ROUND((O80*(1-P80/100)),8)</f>
        <v>1.1E-4</v>
      </c>
      <c r="S80" s="302"/>
      <c r="T80" s="302"/>
    </row>
    <row r="81" spans="1:20" s="300" customFormat="1" ht="12" x14ac:dyDescent="0.2">
      <c r="A81" s="224"/>
      <c r="B81" s="1101"/>
      <c r="C81" s="1104"/>
      <c r="D81" s="769"/>
      <c r="E81" s="770"/>
      <c r="F81" s="767"/>
      <c r="G81" s="768"/>
      <c r="H81" s="769"/>
      <c r="I81" s="770"/>
      <c r="J81" s="770"/>
      <c r="K81" s="759">
        <v>1.5</v>
      </c>
      <c r="L81" s="774" t="s">
        <v>48</v>
      </c>
      <c r="M81" s="775" t="s">
        <v>49</v>
      </c>
      <c r="N81" s="762">
        <f>ROUND(((F76*K81)/(3600)),5)</f>
        <v>2.5999999999999998E-4</v>
      </c>
      <c r="O81" s="762">
        <f>ROUND((G76*K81/1000000),5)</f>
        <v>2.2000000000000001E-4</v>
      </c>
      <c r="P81" s="762"/>
      <c r="Q81" s="762">
        <f>ROUND((N81*(1-P81/100)),6)</f>
        <v>2.5999999999999998E-4</v>
      </c>
      <c r="R81" s="762">
        <f t="shared" ref="R81:R82" si="6">ROUND((O81*(1-P81/100)),5)</f>
        <v>2.2000000000000001E-4</v>
      </c>
      <c r="S81" s="302"/>
      <c r="T81" s="302"/>
    </row>
    <row r="82" spans="1:20" s="300" customFormat="1" ht="12" x14ac:dyDescent="0.2">
      <c r="A82" s="238"/>
      <c r="B82" s="1102"/>
      <c r="C82" s="1105"/>
      <c r="D82" s="776"/>
      <c r="E82" s="777"/>
      <c r="F82" s="778"/>
      <c r="G82" s="779"/>
      <c r="H82" s="776"/>
      <c r="I82" s="777"/>
      <c r="J82" s="777"/>
      <c r="K82" s="759">
        <v>13.3</v>
      </c>
      <c r="L82" s="760" t="s">
        <v>135</v>
      </c>
      <c r="M82" s="761" t="s">
        <v>66</v>
      </c>
      <c r="N82" s="762">
        <f>ROUND(((F76*K82)/(3600)),5)</f>
        <v>2.33E-3</v>
      </c>
      <c r="O82" s="762">
        <f>ROUND((G76*K82/1000000),5)</f>
        <v>1.98E-3</v>
      </c>
      <c r="P82" s="762"/>
      <c r="Q82" s="762">
        <f>ROUND((N82*(1-P82/100)),5)</f>
        <v>2.33E-3</v>
      </c>
      <c r="R82" s="762">
        <f t="shared" si="6"/>
        <v>1.98E-3</v>
      </c>
      <c r="S82" s="302"/>
      <c r="T82" s="302"/>
    </row>
    <row r="83" spans="1:20" s="300" customFormat="1" ht="12" x14ac:dyDescent="0.2">
      <c r="A83" s="1136" t="s">
        <v>158</v>
      </c>
      <c r="B83" s="1137"/>
      <c r="C83" s="1137"/>
      <c r="D83" s="1137"/>
      <c r="E83" s="1137"/>
      <c r="F83" s="1137"/>
      <c r="G83" s="1137"/>
      <c r="H83" s="1137"/>
      <c r="I83" s="1137"/>
      <c r="J83" s="1137"/>
      <c r="K83" s="1138"/>
      <c r="L83" s="783" t="s">
        <v>130</v>
      </c>
      <c r="M83" s="784" t="s">
        <v>131</v>
      </c>
      <c r="N83" s="785"/>
      <c r="O83" s="785"/>
      <c r="P83" s="785"/>
      <c r="Q83" s="786">
        <f>Q45+Q49+Q52+Q59+Q66+Q73+Q76</f>
        <v>1.6839999999999997E-3</v>
      </c>
      <c r="R83" s="786">
        <f>R45+R49+R52+R59+R66+R73+R76</f>
        <v>5.6420000000000003E-3</v>
      </c>
      <c r="S83" s="863"/>
      <c r="T83" s="863"/>
    </row>
    <row r="84" spans="1:20" s="300" customFormat="1" ht="12" x14ac:dyDescent="0.2">
      <c r="A84" s="1136"/>
      <c r="B84" s="1137"/>
      <c r="C84" s="1137"/>
      <c r="D84" s="1137"/>
      <c r="E84" s="1137"/>
      <c r="F84" s="1137"/>
      <c r="G84" s="1137"/>
      <c r="H84" s="1137"/>
      <c r="I84" s="1137"/>
      <c r="J84" s="1137"/>
      <c r="K84" s="1138"/>
      <c r="L84" s="783" t="s">
        <v>132</v>
      </c>
      <c r="M84" s="784" t="s">
        <v>133</v>
      </c>
      <c r="N84" s="785"/>
      <c r="O84" s="785"/>
      <c r="P84" s="785"/>
      <c r="Q84" s="786">
        <f>Q46+Q48+Q53+Q60+Q67+Q74+Q77</f>
        <v>1.37E-4</v>
      </c>
      <c r="R84" s="786">
        <f>R46+R48+R53+R60+R67+R74+R77</f>
        <v>3.6899999999999997E-4</v>
      </c>
      <c r="S84" s="863"/>
      <c r="T84" s="863"/>
    </row>
    <row r="85" spans="1:20" s="300" customFormat="1" ht="12" x14ac:dyDescent="0.2">
      <c r="A85" s="1136"/>
      <c r="B85" s="1137"/>
      <c r="C85" s="1137"/>
      <c r="D85" s="1137"/>
      <c r="E85" s="1137"/>
      <c r="F85" s="1137"/>
      <c r="G85" s="1137"/>
      <c r="H85" s="1137"/>
      <c r="I85" s="1137"/>
      <c r="J85" s="1137"/>
      <c r="K85" s="1138"/>
      <c r="L85" s="787" t="s">
        <v>48</v>
      </c>
      <c r="M85" s="788" t="s">
        <v>49</v>
      </c>
      <c r="N85" s="789"/>
      <c r="O85" s="789"/>
      <c r="P85" s="789"/>
      <c r="Q85" s="790">
        <f>Q50+Q57+Q64+Q71+Q81</f>
        <v>1.0059999999999999E-2</v>
      </c>
      <c r="R85" s="790">
        <f>R50+R57+R64+R71+R81</f>
        <v>3.5569999999999991E-2</v>
      </c>
      <c r="S85" s="863"/>
      <c r="T85" s="863"/>
    </row>
    <row r="86" spans="1:20" s="300" customFormat="1" ht="12" x14ac:dyDescent="0.2">
      <c r="A86" s="1136"/>
      <c r="B86" s="1137"/>
      <c r="C86" s="1137"/>
      <c r="D86" s="1137"/>
      <c r="E86" s="1137"/>
      <c r="F86" s="1137"/>
      <c r="G86" s="1137"/>
      <c r="H86" s="1137"/>
      <c r="I86" s="1137"/>
      <c r="J86" s="1137"/>
      <c r="K86" s="1138"/>
      <c r="L86" s="783" t="s">
        <v>135</v>
      </c>
      <c r="M86" s="784" t="s">
        <v>66</v>
      </c>
      <c r="N86" s="785"/>
      <c r="O86" s="785"/>
      <c r="P86" s="785"/>
      <c r="Q86" s="786">
        <f>Q51+Q58+Q65+Q72+Q82</f>
        <v>2.0869999999999996E-2</v>
      </c>
      <c r="R86" s="786">
        <f>R51+R58+R65+R72+R82</f>
        <v>7.7689999999999995E-2</v>
      </c>
      <c r="S86" s="863"/>
      <c r="T86" s="863"/>
    </row>
    <row r="87" spans="1:20" s="300" customFormat="1" ht="12" x14ac:dyDescent="0.2">
      <c r="A87" s="1136"/>
      <c r="B87" s="1137"/>
      <c r="C87" s="1137"/>
      <c r="D87" s="1137"/>
      <c r="E87" s="1137"/>
      <c r="F87" s="1137"/>
      <c r="G87" s="1137"/>
      <c r="H87" s="1137"/>
      <c r="I87" s="1137"/>
      <c r="J87" s="1137"/>
      <c r="K87" s="1138"/>
      <c r="L87" s="783" t="s">
        <v>138</v>
      </c>
      <c r="M87" s="784" t="s">
        <v>139</v>
      </c>
      <c r="N87" s="785"/>
      <c r="O87" s="785"/>
      <c r="P87" s="785"/>
      <c r="Q87" s="786">
        <f>Q55+Q62+Q69+Q79</f>
        <v>1.5300000000000001E-4</v>
      </c>
      <c r="R87" s="786">
        <f>R55+R62+R69+R79</f>
        <v>5.8E-4</v>
      </c>
      <c r="S87" s="863"/>
      <c r="T87" s="863"/>
    </row>
    <row r="88" spans="1:20" s="300" customFormat="1" ht="12" x14ac:dyDescent="0.2">
      <c r="A88" s="1136"/>
      <c r="B88" s="1137"/>
      <c r="C88" s="1137"/>
      <c r="D88" s="1137"/>
      <c r="E88" s="1137"/>
      <c r="F88" s="1137"/>
      <c r="G88" s="1137"/>
      <c r="H88" s="1137"/>
      <c r="I88" s="1137"/>
      <c r="J88" s="1137"/>
      <c r="K88" s="1138"/>
      <c r="L88" s="791" t="s">
        <v>129</v>
      </c>
      <c r="M88" s="786">
        <v>2908</v>
      </c>
      <c r="N88" s="785"/>
      <c r="O88" s="785"/>
      <c r="P88" s="785"/>
      <c r="Q88" s="786">
        <f>Q47+Q54+Q61+Q68+Q75+Q78</f>
        <v>8.5000000000000006E-5</v>
      </c>
      <c r="R88" s="786">
        <f>R47+R54+R61+R68+R75+R78</f>
        <v>2.7900000000000006E-4</v>
      </c>
      <c r="S88" s="863"/>
      <c r="T88" s="863"/>
    </row>
    <row r="89" spans="1:20" s="300" customFormat="1" ht="12" x14ac:dyDescent="0.2">
      <c r="A89" s="1139"/>
      <c r="B89" s="1140"/>
      <c r="C89" s="1140"/>
      <c r="D89" s="1140"/>
      <c r="E89" s="1140"/>
      <c r="F89" s="1140"/>
      <c r="G89" s="1140"/>
      <c r="H89" s="1140"/>
      <c r="I89" s="1140"/>
      <c r="J89" s="1140"/>
      <c r="K89" s="1141"/>
      <c r="L89" s="783" t="s">
        <v>141</v>
      </c>
      <c r="M89" s="784" t="s">
        <v>142</v>
      </c>
      <c r="N89" s="785"/>
      <c r="O89" s="785"/>
      <c r="P89" s="785"/>
      <c r="Q89" s="786">
        <f>Q56+Q63+Q70+Q80</f>
        <v>6.8999999999999997E-4</v>
      </c>
      <c r="R89" s="786">
        <f>R56+R63+R70+R80</f>
        <v>2.6900000000000001E-3</v>
      </c>
      <c r="S89" s="302">
        <f>SUM(Q83:Q89)</f>
        <v>3.3679000000000001E-2</v>
      </c>
      <c r="T89" s="302">
        <f>SUM(R83:R89)</f>
        <v>0.12281999999999998</v>
      </c>
    </row>
    <row r="90" spans="1:20" s="300" customFormat="1" ht="15.75" customHeight="1" x14ac:dyDescent="0.2">
      <c r="A90" s="1146" t="s">
        <v>253</v>
      </c>
      <c r="B90" s="1147"/>
      <c r="C90" s="1147"/>
      <c r="D90" s="1147"/>
      <c r="E90" s="1147"/>
      <c r="F90" s="1147"/>
      <c r="G90" s="1147"/>
      <c r="H90" s="1147"/>
      <c r="I90" s="1147"/>
      <c r="J90" s="1147"/>
      <c r="K90" s="1147"/>
      <c r="L90" s="1147"/>
      <c r="M90" s="1147"/>
      <c r="N90" s="1147"/>
      <c r="O90" s="1147"/>
      <c r="P90" s="1147"/>
      <c r="Q90" s="1147"/>
      <c r="R90" s="1148"/>
      <c r="S90" s="862"/>
      <c r="T90" s="862"/>
    </row>
    <row r="91" spans="1:20" s="300" customFormat="1" ht="12" x14ac:dyDescent="0.2">
      <c r="A91" s="715" t="s">
        <v>262</v>
      </c>
      <c r="B91" s="1100" t="s">
        <v>221</v>
      </c>
      <c r="C91" s="1103" t="s">
        <v>188</v>
      </c>
      <c r="D91" s="491" t="s">
        <v>137</v>
      </c>
      <c r="E91" s="490"/>
      <c r="F91" s="756">
        <v>0.63</v>
      </c>
      <c r="G91" s="757">
        <v>102</v>
      </c>
      <c r="H91" s="490"/>
      <c r="I91" s="757"/>
      <c r="J91" s="758">
        <f>G91/F91</f>
        <v>161.9047619047619</v>
      </c>
      <c r="K91" s="759">
        <v>10.69</v>
      </c>
      <c r="L91" s="760" t="s">
        <v>130</v>
      </c>
      <c r="M91" s="761" t="s">
        <v>131</v>
      </c>
      <c r="N91" s="762">
        <f>ROUND(((F91*K91)/(3600)),5)</f>
        <v>1.8699999999999999E-3</v>
      </c>
      <c r="O91" s="762">
        <f>ROUND((G91*K91/1000000),5)</f>
        <v>1.09E-3</v>
      </c>
      <c r="P91" s="762">
        <v>95</v>
      </c>
      <c r="Q91" s="762">
        <f>ROUND((N91*(1-P91/100)),6)</f>
        <v>9.3999999999999994E-5</v>
      </c>
      <c r="R91" s="762">
        <f t="shared" ref="R91:R94" si="7">ROUND((O91*(1-P91/100)),5)</f>
        <v>5.0000000000000002E-5</v>
      </c>
      <c r="S91" s="302"/>
      <c r="T91" s="302"/>
    </row>
    <row r="92" spans="1:20" s="300" customFormat="1" ht="12" x14ac:dyDescent="0.2">
      <c r="A92" s="716" t="s">
        <v>150</v>
      </c>
      <c r="B92" s="1101"/>
      <c r="C92" s="1104"/>
      <c r="D92" s="763" t="s">
        <v>157</v>
      </c>
      <c r="E92" s="576"/>
      <c r="F92" s="764"/>
      <c r="G92" s="765"/>
      <c r="H92" s="576"/>
      <c r="I92" s="765"/>
      <c r="J92" s="576"/>
      <c r="K92" s="759">
        <v>0.92</v>
      </c>
      <c r="L92" s="760" t="s">
        <v>132</v>
      </c>
      <c r="M92" s="761" t="s">
        <v>133</v>
      </c>
      <c r="N92" s="762">
        <f>ROUND(((F91*K92)/(3600)),5)</f>
        <v>1.6000000000000001E-4</v>
      </c>
      <c r="O92" s="762">
        <f>ROUND((G91*K92/1000000),5)</f>
        <v>9.0000000000000006E-5</v>
      </c>
      <c r="P92" s="762">
        <v>95</v>
      </c>
      <c r="Q92" s="762">
        <f>ROUND((N92*(1-P92/100)),5)</f>
        <v>1.0000000000000001E-5</v>
      </c>
      <c r="R92" s="762">
        <f>ROUND((O92*(1-P92/100)),6)</f>
        <v>5.0000000000000004E-6</v>
      </c>
      <c r="S92" s="302"/>
      <c r="T92" s="302"/>
    </row>
    <row r="93" spans="1:20" s="300" customFormat="1" ht="12" x14ac:dyDescent="0.2">
      <c r="A93" s="223"/>
      <c r="B93" s="1101"/>
      <c r="C93" s="1104"/>
      <c r="D93" s="763"/>
      <c r="E93" s="576"/>
      <c r="F93" s="764"/>
      <c r="G93" s="765"/>
      <c r="H93" s="576"/>
      <c r="I93" s="765"/>
      <c r="J93" s="576"/>
      <c r="K93" s="759">
        <v>1.4</v>
      </c>
      <c r="L93" s="766" t="s">
        <v>129</v>
      </c>
      <c r="M93" s="761" t="s">
        <v>140</v>
      </c>
      <c r="N93" s="762">
        <f>ROUND(((F91*K93)/(3600)),5)</f>
        <v>2.5000000000000001E-4</v>
      </c>
      <c r="O93" s="762">
        <f>ROUND((G91*K93/1000000),5)</f>
        <v>1.3999999999999999E-4</v>
      </c>
      <c r="P93" s="762">
        <v>95</v>
      </c>
      <c r="Q93" s="762">
        <f>ROUND((N93*(1-P93/100)),6)</f>
        <v>1.2999999999999999E-5</v>
      </c>
      <c r="R93" s="762">
        <f t="shared" si="7"/>
        <v>1.0000000000000001E-5</v>
      </c>
      <c r="S93" s="302"/>
      <c r="T93" s="302"/>
    </row>
    <row r="94" spans="1:20" s="300" customFormat="1" ht="12" x14ac:dyDescent="0.2">
      <c r="A94" s="223"/>
      <c r="B94" s="1101"/>
      <c r="C94" s="1104"/>
      <c r="D94" s="763"/>
      <c r="E94" s="576"/>
      <c r="F94" s="767"/>
      <c r="G94" s="768"/>
      <c r="H94" s="770"/>
      <c r="I94" s="768"/>
      <c r="J94" s="770"/>
      <c r="K94" s="759">
        <v>3.3</v>
      </c>
      <c r="L94" s="760" t="s">
        <v>138</v>
      </c>
      <c r="M94" s="761" t="s">
        <v>139</v>
      </c>
      <c r="N94" s="762">
        <f>ROUND(((F91*K94)/(3600)),5)</f>
        <v>5.8E-4</v>
      </c>
      <c r="O94" s="762">
        <f>ROUND((G91*K94/1000000),5)</f>
        <v>3.4000000000000002E-4</v>
      </c>
      <c r="P94" s="762">
        <v>95</v>
      </c>
      <c r="Q94" s="762">
        <f>ROUND((N94*(1-P94/100)),6)</f>
        <v>2.9E-5</v>
      </c>
      <c r="R94" s="762">
        <f t="shared" si="7"/>
        <v>2.0000000000000002E-5</v>
      </c>
      <c r="S94" s="302"/>
      <c r="T94" s="302"/>
    </row>
    <row r="95" spans="1:20" s="300" customFormat="1" ht="12" x14ac:dyDescent="0.2">
      <c r="A95" s="223"/>
      <c r="B95" s="1101"/>
      <c r="C95" s="1104"/>
      <c r="D95" s="771"/>
      <c r="E95" s="772"/>
      <c r="F95" s="767"/>
      <c r="G95" s="768"/>
      <c r="H95" s="770"/>
      <c r="I95" s="768"/>
      <c r="J95" s="770"/>
      <c r="K95" s="759">
        <v>0.75</v>
      </c>
      <c r="L95" s="760" t="s">
        <v>141</v>
      </c>
      <c r="M95" s="761" t="s">
        <v>142</v>
      </c>
      <c r="N95" s="773">
        <f>ROUND(((F91*K95)/(3600)),5)</f>
        <v>1.2999999999999999E-4</v>
      </c>
      <c r="O95" s="773">
        <f>ROUND((G91*K95/1000000),5)</f>
        <v>8.0000000000000007E-5</v>
      </c>
      <c r="P95" s="762"/>
      <c r="Q95" s="762">
        <f>ROUND((N95*(1-P95/100)),8)</f>
        <v>1.2999999999999999E-4</v>
      </c>
      <c r="R95" s="762">
        <f>ROUND((O95*(1-P95/100)),8)</f>
        <v>8.0000000000000007E-5</v>
      </c>
      <c r="S95" s="302"/>
      <c r="T95" s="302"/>
    </row>
    <row r="96" spans="1:20" s="300" customFormat="1" ht="12" x14ac:dyDescent="0.2">
      <c r="A96" s="223"/>
      <c r="B96" s="1101"/>
      <c r="C96" s="1104"/>
      <c r="D96" s="769"/>
      <c r="E96" s="770"/>
      <c r="F96" s="767"/>
      <c r="G96" s="768"/>
      <c r="H96" s="770"/>
      <c r="I96" s="768"/>
      <c r="J96" s="770"/>
      <c r="K96" s="759">
        <v>1.5</v>
      </c>
      <c r="L96" s="774" t="s">
        <v>48</v>
      </c>
      <c r="M96" s="775" t="s">
        <v>49</v>
      </c>
      <c r="N96" s="762">
        <f>ROUND(((F91*K96)/(3600)),5)</f>
        <v>2.5999999999999998E-4</v>
      </c>
      <c r="O96" s="762">
        <f>ROUND((G91*K96/1000000),5)</f>
        <v>1.4999999999999999E-4</v>
      </c>
      <c r="P96" s="762"/>
      <c r="Q96" s="762">
        <f>ROUND((N96*(1-P96/100)),6)</f>
        <v>2.5999999999999998E-4</v>
      </c>
      <c r="R96" s="762">
        <f t="shared" ref="R96:R101" si="8">ROUND((O96*(1-P96/100)),5)</f>
        <v>1.4999999999999999E-4</v>
      </c>
      <c r="S96" s="302"/>
      <c r="T96" s="302"/>
    </row>
    <row r="97" spans="1:20" s="300" customFormat="1" ht="12" x14ac:dyDescent="0.2">
      <c r="A97" s="223"/>
      <c r="B97" s="1102"/>
      <c r="C97" s="1105"/>
      <c r="D97" s="776"/>
      <c r="E97" s="777"/>
      <c r="F97" s="778"/>
      <c r="G97" s="779"/>
      <c r="H97" s="777"/>
      <c r="I97" s="779"/>
      <c r="J97" s="777"/>
      <c r="K97" s="759">
        <v>13.3</v>
      </c>
      <c r="L97" s="760" t="s">
        <v>135</v>
      </c>
      <c r="M97" s="761" t="s">
        <v>66</v>
      </c>
      <c r="N97" s="762">
        <f>ROUND(((F91*K97)/(3600)),5)</f>
        <v>2.33E-3</v>
      </c>
      <c r="O97" s="762">
        <f>ROUND((G91*K97/1000000),5)</f>
        <v>1.3600000000000001E-3</v>
      </c>
      <c r="P97" s="762"/>
      <c r="Q97" s="762">
        <f>ROUND((N97*(1-P97/100)),5)</f>
        <v>2.33E-3</v>
      </c>
      <c r="R97" s="762">
        <f t="shared" si="8"/>
        <v>1.3600000000000001E-3</v>
      </c>
      <c r="S97" s="302"/>
      <c r="T97" s="302"/>
    </row>
    <row r="98" spans="1:20" s="300" customFormat="1" ht="12" x14ac:dyDescent="0.2">
      <c r="A98" s="251"/>
      <c r="B98" s="1106" t="s">
        <v>247</v>
      </c>
      <c r="C98" s="1109" t="s">
        <v>188</v>
      </c>
      <c r="D98" s="98" t="s">
        <v>137</v>
      </c>
      <c r="E98" s="97"/>
      <c r="F98" s="93">
        <v>0.63</v>
      </c>
      <c r="G98" s="225">
        <v>240</v>
      </c>
      <c r="H98" s="97"/>
      <c r="I98" s="225"/>
      <c r="J98" s="226">
        <f>G98/F98</f>
        <v>380.95238095238096</v>
      </c>
      <c r="K98" s="227">
        <v>10.69</v>
      </c>
      <c r="L98" s="168" t="s">
        <v>130</v>
      </c>
      <c r="M98" s="228" t="s">
        <v>131</v>
      </c>
      <c r="N98" s="105">
        <f>ROUND(((F98*K98)/(3600)),5)</f>
        <v>1.8699999999999999E-3</v>
      </c>
      <c r="O98" s="105">
        <f>ROUND((G98*K98/1000000),5)</f>
        <v>2.5699999999999998E-3</v>
      </c>
      <c r="P98" s="105">
        <v>95</v>
      </c>
      <c r="Q98" s="105">
        <f>ROUND((N98*(1-P98/100)),6)</f>
        <v>9.3999999999999994E-5</v>
      </c>
      <c r="R98" s="105">
        <f t="shared" si="8"/>
        <v>1.2999999999999999E-4</v>
      </c>
      <c r="S98" s="302"/>
      <c r="T98" s="302"/>
    </row>
    <row r="99" spans="1:20" s="300" customFormat="1" ht="12" x14ac:dyDescent="0.2">
      <c r="A99" s="251"/>
      <c r="B99" s="1131"/>
      <c r="C99" s="1110"/>
      <c r="D99" s="99" t="s">
        <v>157</v>
      </c>
      <c r="E99" s="94"/>
      <c r="F99" s="95"/>
      <c r="G99" s="302"/>
      <c r="H99" s="94"/>
      <c r="I99" s="302"/>
      <c r="J99" s="94"/>
      <c r="K99" s="227">
        <v>0.92</v>
      </c>
      <c r="L99" s="168" t="s">
        <v>132</v>
      </c>
      <c r="M99" s="228" t="s">
        <v>133</v>
      </c>
      <c r="N99" s="105">
        <f>ROUND(((F98*K99)/(3600)),5)</f>
        <v>1.6000000000000001E-4</v>
      </c>
      <c r="O99" s="105">
        <f>ROUND((G98*K99/1000000),5)</f>
        <v>2.2000000000000001E-4</v>
      </c>
      <c r="P99" s="105">
        <v>95</v>
      </c>
      <c r="Q99" s="105">
        <f>ROUND((N99*(1-P99/100)),5)</f>
        <v>1.0000000000000001E-5</v>
      </c>
      <c r="R99" s="105">
        <f t="shared" si="8"/>
        <v>1.0000000000000001E-5</v>
      </c>
      <c r="S99" s="302"/>
      <c r="T99" s="302"/>
    </row>
    <row r="100" spans="1:20" s="300" customFormat="1" ht="12" x14ac:dyDescent="0.2">
      <c r="A100" s="251"/>
      <c r="B100" s="1131"/>
      <c r="C100" s="1110"/>
      <c r="D100" s="99"/>
      <c r="E100" s="94"/>
      <c r="F100" s="95"/>
      <c r="G100" s="302"/>
      <c r="H100" s="94"/>
      <c r="I100" s="302"/>
      <c r="J100" s="94"/>
      <c r="K100" s="227">
        <v>1.4</v>
      </c>
      <c r="L100" s="229" t="s">
        <v>129</v>
      </c>
      <c r="M100" s="228" t="s">
        <v>140</v>
      </c>
      <c r="N100" s="105">
        <f>ROUND(((F98*K100)/(3600)),5)</f>
        <v>2.5000000000000001E-4</v>
      </c>
      <c r="O100" s="105">
        <f>ROUND((G98*K100/1000000),5)</f>
        <v>3.4000000000000002E-4</v>
      </c>
      <c r="P100" s="105">
        <v>95</v>
      </c>
      <c r="Q100" s="105">
        <f>ROUND((N100*(1-P100/100)),6)</f>
        <v>1.2999999999999999E-5</v>
      </c>
      <c r="R100" s="105">
        <f t="shared" si="8"/>
        <v>2.0000000000000002E-5</v>
      </c>
      <c r="S100" s="302"/>
      <c r="T100" s="302"/>
    </row>
    <row r="101" spans="1:20" s="300" customFormat="1" ht="12" x14ac:dyDescent="0.2">
      <c r="A101" s="251"/>
      <c r="B101" s="1131"/>
      <c r="C101" s="1110"/>
      <c r="D101" s="99"/>
      <c r="E101" s="94"/>
      <c r="F101" s="230"/>
      <c r="G101" s="100"/>
      <c r="H101" s="224"/>
      <c r="I101" s="100"/>
      <c r="J101" s="224"/>
      <c r="K101" s="227">
        <v>3.3</v>
      </c>
      <c r="L101" s="168" t="s">
        <v>138</v>
      </c>
      <c r="M101" s="228" t="s">
        <v>139</v>
      </c>
      <c r="N101" s="105">
        <f>ROUND(((F98*K101)/(3600)),5)</f>
        <v>5.8E-4</v>
      </c>
      <c r="O101" s="105">
        <f>ROUND((G98*K101/1000000),5)</f>
        <v>7.9000000000000001E-4</v>
      </c>
      <c r="P101" s="105">
        <v>95</v>
      </c>
      <c r="Q101" s="105">
        <f>ROUND((N101*(1-P101/100)),6)</f>
        <v>2.9E-5</v>
      </c>
      <c r="R101" s="105">
        <f t="shared" si="8"/>
        <v>4.0000000000000003E-5</v>
      </c>
      <c r="S101" s="302"/>
      <c r="T101" s="302"/>
    </row>
    <row r="102" spans="1:20" s="300" customFormat="1" ht="12" x14ac:dyDescent="0.2">
      <c r="A102" s="251"/>
      <c r="B102" s="1131"/>
      <c r="C102" s="1110"/>
      <c r="D102" s="232"/>
      <c r="E102" s="233"/>
      <c r="F102" s="230"/>
      <c r="G102" s="100"/>
      <c r="H102" s="224"/>
      <c r="I102" s="100"/>
      <c r="J102" s="224"/>
      <c r="K102" s="227">
        <v>0.75</v>
      </c>
      <c r="L102" s="168" t="s">
        <v>141</v>
      </c>
      <c r="M102" s="228" t="s">
        <v>142</v>
      </c>
      <c r="N102" s="234">
        <f>ROUND(((F98*K102)/(3600)),5)</f>
        <v>1.2999999999999999E-4</v>
      </c>
      <c r="O102" s="234">
        <f>ROUND((G98*K102/1000000),5)</f>
        <v>1.8000000000000001E-4</v>
      </c>
      <c r="P102" s="105"/>
      <c r="Q102" s="105">
        <f>ROUND((N102*(1-P102/100)),8)</f>
        <v>1.2999999999999999E-4</v>
      </c>
      <c r="R102" s="105">
        <f>ROUND((O102*(1-P102/100)),8)</f>
        <v>1.8000000000000001E-4</v>
      </c>
      <c r="S102" s="302"/>
      <c r="T102" s="302"/>
    </row>
    <row r="103" spans="1:20" s="300" customFormat="1" ht="12" x14ac:dyDescent="0.2">
      <c r="A103" s="251"/>
      <c r="B103" s="1131"/>
      <c r="C103" s="1110"/>
      <c r="D103" s="231"/>
      <c r="E103" s="224"/>
      <c r="F103" s="230"/>
      <c r="G103" s="100"/>
      <c r="H103" s="224"/>
      <c r="I103" s="100"/>
      <c r="J103" s="224"/>
      <c r="K103" s="227">
        <v>1.5</v>
      </c>
      <c r="L103" s="235" t="s">
        <v>48</v>
      </c>
      <c r="M103" s="236" t="s">
        <v>49</v>
      </c>
      <c r="N103" s="105">
        <f>ROUND(((F98*K103)/(3600)),5)</f>
        <v>2.5999999999999998E-4</v>
      </c>
      <c r="O103" s="105">
        <f>ROUND((G98*K103/1000000),5)</f>
        <v>3.6000000000000002E-4</v>
      </c>
      <c r="P103" s="105"/>
      <c r="Q103" s="105">
        <f>ROUND((N103*(1-P103/100)),6)</f>
        <v>2.5999999999999998E-4</v>
      </c>
      <c r="R103" s="105">
        <f t="shared" ref="R103:R104" si="9">ROUND((O103*(1-P103/100)),5)</f>
        <v>3.6000000000000002E-4</v>
      </c>
      <c r="S103" s="302"/>
      <c r="T103" s="302"/>
    </row>
    <row r="104" spans="1:20" s="300" customFormat="1" ht="12" x14ac:dyDescent="0.2">
      <c r="A104" s="252"/>
      <c r="B104" s="1132"/>
      <c r="C104" s="1111"/>
      <c r="D104" s="237"/>
      <c r="E104" s="238"/>
      <c r="F104" s="239"/>
      <c r="G104" s="240"/>
      <c r="H104" s="238"/>
      <c r="I104" s="240"/>
      <c r="J104" s="238"/>
      <c r="K104" s="227">
        <v>13.3</v>
      </c>
      <c r="L104" s="168" t="s">
        <v>135</v>
      </c>
      <c r="M104" s="228" t="s">
        <v>66</v>
      </c>
      <c r="N104" s="105">
        <f>ROUND(((F98*K104)/(3600)),5)</f>
        <v>2.33E-3</v>
      </c>
      <c r="O104" s="105">
        <f>ROUND((G98*K104/1000000),5)</f>
        <v>3.1900000000000001E-3</v>
      </c>
      <c r="P104" s="105"/>
      <c r="Q104" s="105">
        <f>ROUND((N104*(1-P104/100)),5)</f>
        <v>2.33E-3</v>
      </c>
      <c r="R104" s="105">
        <f t="shared" si="9"/>
        <v>3.1900000000000001E-3</v>
      </c>
      <c r="S104" s="302"/>
      <c r="T104" s="302"/>
    </row>
    <row r="105" spans="1:20" s="300" customFormat="1" ht="12" x14ac:dyDescent="0.2">
      <c r="A105" s="1136" t="s">
        <v>277</v>
      </c>
      <c r="B105" s="1137"/>
      <c r="C105" s="1137"/>
      <c r="D105" s="1137"/>
      <c r="E105" s="1137"/>
      <c r="F105" s="1137"/>
      <c r="G105" s="1137"/>
      <c r="H105" s="1137"/>
      <c r="I105" s="1137"/>
      <c r="J105" s="1137"/>
      <c r="K105" s="1138"/>
      <c r="L105" s="783" t="s">
        <v>130</v>
      </c>
      <c r="M105" s="784" t="s">
        <v>131</v>
      </c>
      <c r="N105" s="785"/>
      <c r="O105" s="785"/>
      <c r="P105" s="785"/>
      <c r="Q105" s="786">
        <f>Q91+Q98</f>
        <v>1.8799999999999999E-4</v>
      </c>
      <c r="R105" s="786">
        <f>R91+R98</f>
        <v>1.7999999999999998E-4</v>
      </c>
      <c r="S105" s="863"/>
      <c r="T105" s="863"/>
    </row>
    <row r="106" spans="1:20" s="300" customFormat="1" ht="12" x14ac:dyDescent="0.2">
      <c r="A106" s="1136"/>
      <c r="B106" s="1137"/>
      <c r="C106" s="1137"/>
      <c r="D106" s="1137"/>
      <c r="E106" s="1137"/>
      <c r="F106" s="1137"/>
      <c r="G106" s="1137"/>
      <c r="H106" s="1137"/>
      <c r="I106" s="1137"/>
      <c r="J106" s="1137"/>
      <c r="K106" s="1138"/>
      <c r="L106" s="783" t="s">
        <v>132</v>
      </c>
      <c r="M106" s="784" t="s">
        <v>133</v>
      </c>
      <c r="N106" s="785"/>
      <c r="O106" s="785"/>
      <c r="P106" s="785"/>
      <c r="Q106" s="786">
        <f>Q92+Q99</f>
        <v>2.0000000000000002E-5</v>
      </c>
      <c r="R106" s="786">
        <f>R92+R99</f>
        <v>1.5000000000000002E-5</v>
      </c>
      <c r="S106" s="863"/>
      <c r="T106" s="863"/>
    </row>
    <row r="107" spans="1:20" s="300" customFormat="1" ht="12" x14ac:dyDescent="0.2">
      <c r="A107" s="1136"/>
      <c r="B107" s="1137"/>
      <c r="C107" s="1137"/>
      <c r="D107" s="1137"/>
      <c r="E107" s="1137"/>
      <c r="F107" s="1137"/>
      <c r="G107" s="1137"/>
      <c r="H107" s="1137"/>
      <c r="I107" s="1137"/>
      <c r="J107" s="1137"/>
      <c r="K107" s="1138"/>
      <c r="L107" s="787" t="s">
        <v>48</v>
      </c>
      <c r="M107" s="788" t="s">
        <v>49</v>
      </c>
      <c r="N107" s="789"/>
      <c r="O107" s="789"/>
      <c r="P107" s="789"/>
      <c r="Q107" s="790">
        <f>Q96+Q103</f>
        <v>5.1999999999999995E-4</v>
      </c>
      <c r="R107" s="790">
        <f>R96+R103</f>
        <v>5.1000000000000004E-4</v>
      </c>
      <c r="S107" s="863"/>
      <c r="T107" s="863"/>
    </row>
    <row r="108" spans="1:20" s="300" customFormat="1" ht="12" x14ac:dyDescent="0.2">
      <c r="A108" s="1136"/>
      <c r="B108" s="1137"/>
      <c r="C108" s="1137"/>
      <c r="D108" s="1137"/>
      <c r="E108" s="1137"/>
      <c r="F108" s="1137"/>
      <c r="G108" s="1137"/>
      <c r="H108" s="1137"/>
      <c r="I108" s="1137"/>
      <c r="J108" s="1137"/>
      <c r="K108" s="1138"/>
      <c r="L108" s="783" t="s">
        <v>135</v>
      </c>
      <c r="M108" s="784" t="s">
        <v>66</v>
      </c>
      <c r="N108" s="785"/>
      <c r="O108" s="785"/>
      <c r="P108" s="785"/>
      <c r="Q108" s="786">
        <f>Q97+Q104</f>
        <v>4.6600000000000001E-3</v>
      </c>
      <c r="R108" s="786">
        <f>R97+R104</f>
        <v>4.5500000000000002E-3</v>
      </c>
      <c r="S108" s="863"/>
      <c r="T108" s="863"/>
    </row>
    <row r="109" spans="1:20" s="300" customFormat="1" ht="12" x14ac:dyDescent="0.2">
      <c r="A109" s="1136"/>
      <c r="B109" s="1137"/>
      <c r="C109" s="1137"/>
      <c r="D109" s="1137"/>
      <c r="E109" s="1137"/>
      <c r="F109" s="1137"/>
      <c r="G109" s="1137"/>
      <c r="H109" s="1137"/>
      <c r="I109" s="1137"/>
      <c r="J109" s="1137"/>
      <c r="K109" s="1138"/>
      <c r="L109" s="783" t="s">
        <v>138</v>
      </c>
      <c r="M109" s="784" t="s">
        <v>139</v>
      </c>
      <c r="N109" s="785"/>
      <c r="O109" s="785"/>
      <c r="P109" s="785"/>
      <c r="Q109" s="786">
        <f>Q94+Q101</f>
        <v>5.8E-5</v>
      </c>
      <c r="R109" s="786">
        <f>R94+R101</f>
        <v>6.0000000000000008E-5</v>
      </c>
      <c r="S109" s="863"/>
      <c r="T109" s="863"/>
    </row>
    <row r="110" spans="1:20" s="300" customFormat="1" ht="12" x14ac:dyDescent="0.2">
      <c r="A110" s="1136"/>
      <c r="B110" s="1137"/>
      <c r="C110" s="1137"/>
      <c r="D110" s="1137"/>
      <c r="E110" s="1137"/>
      <c r="F110" s="1137"/>
      <c r="G110" s="1137"/>
      <c r="H110" s="1137"/>
      <c r="I110" s="1137"/>
      <c r="J110" s="1137"/>
      <c r="K110" s="1138"/>
      <c r="L110" s="791" t="s">
        <v>129</v>
      </c>
      <c r="M110" s="786">
        <v>2908</v>
      </c>
      <c r="N110" s="785"/>
      <c r="O110" s="785"/>
      <c r="P110" s="785"/>
      <c r="Q110" s="786">
        <f>Q93+Q100</f>
        <v>2.5999999999999998E-5</v>
      </c>
      <c r="R110" s="786">
        <f>R93+R100</f>
        <v>3.0000000000000004E-5</v>
      </c>
      <c r="S110" s="863"/>
      <c r="T110" s="863"/>
    </row>
    <row r="111" spans="1:20" s="300" customFormat="1" ht="12" x14ac:dyDescent="0.2">
      <c r="A111" s="1139"/>
      <c r="B111" s="1140"/>
      <c r="C111" s="1140"/>
      <c r="D111" s="1140"/>
      <c r="E111" s="1140"/>
      <c r="F111" s="1140"/>
      <c r="G111" s="1140"/>
      <c r="H111" s="1140"/>
      <c r="I111" s="1140"/>
      <c r="J111" s="1140"/>
      <c r="K111" s="1141"/>
      <c r="L111" s="783" t="s">
        <v>141</v>
      </c>
      <c r="M111" s="784" t="s">
        <v>142</v>
      </c>
      <c r="N111" s="785"/>
      <c r="O111" s="785"/>
      <c r="P111" s="785"/>
      <c r="Q111" s="786">
        <f>Q95+Q102</f>
        <v>2.5999999999999998E-4</v>
      </c>
      <c r="R111" s="786">
        <f>R95+R102</f>
        <v>2.6000000000000003E-4</v>
      </c>
      <c r="S111" s="302">
        <f>SUM(Q105:Q111)</f>
        <v>5.7320000000000001E-3</v>
      </c>
      <c r="T111" s="302">
        <f>SUM(R105:R111)</f>
        <v>5.6049999999999997E-3</v>
      </c>
    </row>
    <row r="112" spans="1:20" s="300" customFormat="1" ht="14.25" customHeight="1" x14ac:dyDescent="0.2">
      <c r="A112" s="1116" t="s">
        <v>261</v>
      </c>
      <c r="B112" s="1117"/>
      <c r="C112" s="1117"/>
      <c r="D112" s="1117"/>
      <c r="E112" s="1117"/>
      <c r="F112" s="1117"/>
      <c r="G112" s="1117"/>
      <c r="H112" s="1117"/>
      <c r="I112" s="1117"/>
      <c r="J112" s="1117"/>
      <c r="K112" s="1117"/>
      <c r="L112" s="1117"/>
      <c r="M112" s="1117"/>
      <c r="N112" s="1117"/>
      <c r="O112" s="1117"/>
      <c r="P112" s="1117"/>
      <c r="Q112" s="1117"/>
      <c r="R112" s="1118"/>
      <c r="S112" s="862"/>
      <c r="T112" s="862"/>
    </row>
    <row r="113" spans="1:20" s="300" customFormat="1" ht="12" x14ac:dyDescent="0.2">
      <c r="A113" s="715" t="s">
        <v>286</v>
      </c>
      <c r="B113" s="1100" t="s">
        <v>187</v>
      </c>
      <c r="C113" s="1103" t="s">
        <v>188</v>
      </c>
      <c r="D113" s="491" t="s">
        <v>137</v>
      </c>
      <c r="E113" s="490"/>
      <c r="F113" s="756">
        <v>0.63</v>
      </c>
      <c r="G113" s="490">
        <v>750</v>
      </c>
      <c r="H113" s="490"/>
      <c r="I113" s="757"/>
      <c r="J113" s="758">
        <f>G113/F113</f>
        <v>1190.4761904761904</v>
      </c>
      <c r="K113" s="759">
        <v>6.06</v>
      </c>
      <c r="L113" s="760" t="s">
        <v>130</v>
      </c>
      <c r="M113" s="761" t="s">
        <v>131</v>
      </c>
      <c r="N113" s="762">
        <f>ROUND(((F113*K113)/(3600)),5)</f>
        <v>1.06E-3</v>
      </c>
      <c r="O113" s="762">
        <f>ROUND((G113*K113/1000000),5)</f>
        <v>4.5500000000000002E-3</v>
      </c>
      <c r="P113" s="762">
        <v>95</v>
      </c>
      <c r="Q113" s="762">
        <f>ROUND((N113*(1-P113/100)),6)</f>
        <v>5.3000000000000001E-5</v>
      </c>
      <c r="R113" s="762">
        <f t="shared" ref="R113:R115" si="10">ROUND((O113*(1-P113/100)),5)</f>
        <v>2.3000000000000001E-4</v>
      </c>
      <c r="S113" s="302"/>
      <c r="T113" s="302"/>
    </row>
    <row r="114" spans="1:20" s="300" customFormat="1" ht="12" x14ac:dyDescent="0.2">
      <c r="A114" s="716" t="s">
        <v>150</v>
      </c>
      <c r="B114" s="1101"/>
      <c r="C114" s="1104"/>
      <c r="D114" s="763" t="s">
        <v>263</v>
      </c>
      <c r="E114" s="576"/>
      <c r="F114" s="764"/>
      <c r="G114" s="576"/>
      <c r="H114" s="576"/>
      <c r="I114" s="765"/>
      <c r="J114" s="576"/>
      <c r="K114" s="759">
        <v>0.25</v>
      </c>
      <c r="L114" s="760" t="s">
        <v>132</v>
      </c>
      <c r="M114" s="761" t="s">
        <v>133</v>
      </c>
      <c r="N114" s="762">
        <f>ROUND(((F113*K114)/(3600)),5)</f>
        <v>4.0000000000000003E-5</v>
      </c>
      <c r="O114" s="762">
        <f>ROUND((G113*K114/1000000),5)</f>
        <v>1.9000000000000001E-4</v>
      </c>
      <c r="P114" s="762">
        <v>95</v>
      </c>
      <c r="Q114" s="762">
        <f>ROUND((N114*(1-P114/100)),6)</f>
        <v>1.9999999999999999E-6</v>
      </c>
      <c r="R114" s="762">
        <f t="shared" si="10"/>
        <v>1.0000000000000001E-5</v>
      </c>
      <c r="S114" s="302"/>
      <c r="T114" s="302"/>
    </row>
    <row r="115" spans="1:20" s="300" customFormat="1" ht="12" x14ac:dyDescent="0.2">
      <c r="A115" s="224"/>
      <c r="B115" s="1101"/>
      <c r="C115" s="1104"/>
      <c r="D115" s="763"/>
      <c r="E115" s="576"/>
      <c r="F115" s="764"/>
      <c r="G115" s="576"/>
      <c r="H115" s="576"/>
      <c r="I115" s="765"/>
      <c r="J115" s="576"/>
      <c r="K115" s="759">
        <v>0.59</v>
      </c>
      <c r="L115" s="760" t="s">
        <v>264</v>
      </c>
      <c r="M115" s="761" t="s">
        <v>265</v>
      </c>
      <c r="N115" s="762">
        <f>ROUND(((F113*K115)/(3600)),5)</f>
        <v>1E-4</v>
      </c>
      <c r="O115" s="762">
        <f>ROUND((G113*K115/1000000),5)</f>
        <v>4.4000000000000002E-4</v>
      </c>
      <c r="P115" s="762">
        <v>95</v>
      </c>
      <c r="Q115" s="762">
        <f>ROUND((N115*(1-P115/100)),6)</f>
        <v>5.0000000000000004E-6</v>
      </c>
      <c r="R115" s="762">
        <f t="shared" si="10"/>
        <v>2.0000000000000002E-5</v>
      </c>
      <c r="S115" s="302"/>
      <c r="T115" s="302"/>
    </row>
    <row r="116" spans="1:20" s="300" customFormat="1" ht="12" x14ac:dyDescent="0.2">
      <c r="A116" s="224"/>
      <c r="B116" s="1102"/>
      <c r="C116" s="1105"/>
      <c r="D116" s="961"/>
      <c r="E116" s="962"/>
      <c r="F116" s="778"/>
      <c r="G116" s="777"/>
      <c r="H116" s="777"/>
      <c r="I116" s="779"/>
      <c r="J116" s="777"/>
      <c r="K116" s="759">
        <v>1.23</v>
      </c>
      <c r="L116" s="760" t="s">
        <v>141</v>
      </c>
      <c r="M116" s="761" t="s">
        <v>142</v>
      </c>
      <c r="N116" s="773">
        <f>ROUND(((F113*K116)/(3600)),5)</f>
        <v>2.2000000000000001E-4</v>
      </c>
      <c r="O116" s="773">
        <f>ROUND((G113*K116/1000000),5)</f>
        <v>9.2000000000000003E-4</v>
      </c>
      <c r="P116" s="762"/>
      <c r="Q116" s="762">
        <f>ROUND((N116*(1-P116/100)),8)</f>
        <v>2.2000000000000001E-4</v>
      </c>
      <c r="R116" s="762">
        <f>ROUND((O116*(1-P116/100)),8)</f>
        <v>9.2000000000000003E-4</v>
      </c>
      <c r="S116" s="302"/>
      <c r="T116" s="302"/>
    </row>
    <row r="117" spans="1:20" s="300" customFormat="1" ht="12" x14ac:dyDescent="0.2">
      <c r="A117" s="251"/>
      <c r="B117" s="1106" t="s">
        <v>268</v>
      </c>
      <c r="C117" s="1109" t="s">
        <v>922</v>
      </c>
      <c r="D117" s="97" t="s">
        <v>153</v>
      </c>
      <c r="E117" s="93"/>
      <c r="F117" s="97">
        <v>0.9</v>
      </c>
      <c r="G117" s="98">
        <v>1233</v>
      </c>
      <c r="H117" s="97"/>
      <c r="I117" s="93"/>
      <c r="J117" s="226">
        <f>G117/F117</f>
        <v>1370</v>
      </c>
      <c r="K117" s="105">
        <v>6.49</v>
      </c>
      <c r="L117" s="168" t="s">
        <v>130</v>
      </c>
      <c r="M117" s="228" t="s">
        <v>131</v>
      </c>
      <c r="N117" s="105">
        <f>ROUND(((F117*K117)/(3600)),5)</f>
        <v>1.6199999999999999E-3</v>
      </c>
      <c r="O117" s="105">
        <f>ROUND((G117*K117/1000000),5)</f>
        <v>8.0000000000000002E-3</v>
      </c>
      <c r="P117" s="105">
        <v>95</v>
      </c>
      <c r="Q117" s="105">
        <f>ROUND((N117*(1-P117/100)),6)</f>
        <v>8.1000000000000004E-5</v>
      </c>
      <c r="R117" s="105">
        <f>ROUND((O117*(1-P117/100)),6)</f>
        <v>4.0000000000000002E-4</v>
      </c>
      <c r="S117" s="302"/>
      <c r="T117" s="302"/>
    </row>
    <row r="118" spans="1:20" s="300" customFormat="1" ht="12" x14ac:dyDescent="0.2">
      <c r="A118" s="251"/>
      <c r="B118" s="1107"/>
      <c r="C118" s="1110"/>
      <c r="D118" s="963" t="s">
        <v>269</v>
      </c>
      <c r="E118" s="95"/>
      <c r="F118" s="94"/>
      <c r="G118" s="99"/>
      <c r="H118" s="94"/>
      <c r="I118" s="95"/>
      <c r="J118" s="94"/>
      <c r="K118" s="105">
        <v>4.8499999999999996</v>
      </c>
      <c r="L118" s="168" t="s">
        <v>132</v>
      </c>
      <c r="M118" s="228" t="s">
        <v>133</v>
      </c>
      <c r="N118" s="105">
        <f>ROUND(((F117*K118)/(3600)),5)</f>
        <v>1.2099999999999999E-3</v>
      </c>
      <c r="O118" s="105">
        <f>ROUND((G117*K118/1000000),5)</f>
        <v>5.9800000000000001E-3</v>
      </c>
      <c r="P118" s="105">
        <v>95</v>
      </c>
      <c r="Q118" s="105">
        <f>ROUND((N118*(1-P118/100)),6)</f>
        <v>6.0999999999999999E-5</v>
      </c>
      <c r="R118" s="105">
        <f>ROUND((O118*(1-P118/100)),6)</f>
        <v>2.99E-4</v>
      </c>
      <c r="S118" s="302"/>
      <c r="T118" s="302"/>
    </row>
    <row r="119" spans="1:20" s="300" customFormat="1" ht="12" x14ac:dyDescent="0.2">
      <c r="A119" s="251"/>
      <c r="B119" s="1107"/>
      <c r="C119" s="1110"/>
      <c r="D119" s="94"/>
      <c r="E119" s="95"/>
      <c r="F119" s="94"/>
      <c r="G119" s="99"/>
      <c r="H119" s="94"/>
      <c r="I119" s="95"/>
      <c r="J119" s="94"/>
      <c r="K119" s="105">
        <v>0.48</v>
      </c>
      <c r="L119" s="168" t="s">
        <v>264</v>
      </c>
      <c r="M119" s="228" t="s">
        <v>265</v>
      </c>
      <c r="N119" s="105">
        <f>ROUND(((F117*K119)/(3600)),5)</f>
        <v>1.2E-4</v>
      </c>
      <c r="O119" s="105">
        <f>ROUND((G117*K119/1000000),5)</f>
        <v>5.9000000000000003E-4</v>
      </c>
      <c r="P119" s="105">
        <v>95</v>
      </c>
      <c r="Q119" s="105">
        <f>ROUND((N119*(1-P119/100)),6)</f>
        <v>6.0000000000000002E-6</v>
      </c>
      <c r="R119" s="105">
        <f>ROUND((O119*(1-P119/100)),6)</f>
        <v>3.0000000000000001E-5</v>
      </c>
      <c r="S119" s="302"/>
      <c r="T119" s="302"/>
    </row>
    <row r="120" spans="1:20" s="300" customFormat="1" ht="12" x14ac:dyDescent="0.2">
      <c r="A120" s="251"/>
      <c r="B120" s="1108"/>
      <c r="C120" s="1111"/>
      <c r="D120" s="101"/>
      <c r="E120" s="125"/>
      <c r="F120" s="101"/>
      <c r="G120" s="102"/>
      <c r="H120" s="101"/>
      <c r="I120" s="125"/>
      <c r="J120" s="101"/>
      <c r="K120" s="105">
        <v>0.18</v>
      </c>
      <c r="L120" s="229" t="s">
        <v>270</v>
      </c>
      <c r="M120" s="228" t="s">
        <v>271</v>
      </c>
      <c r="N120" s="105">
        <f>ROUND(((F117*K120)/(3600)),5)</f>
        <v>5.0000000000000002E-5</v>
      </c>
      <c r="O120" s="105">
        <f>ROUND((G117*K120/1000000),5)</f>
        <v>2.2000000000000001E-4</v>
      </c>
      <c r="P120" s="105">
        <v>95</v>
      </c>
      <c r="Q120" s="105">
        <f>ROUND((N120*(1-P120/100)),6)</f>
        <v>3.0000000000000001E-6</v>
      </c>
      <c r="R120" s="105">
        <f>ROUND((O120*(1-P120/100)),6)</f>
        <v>1.1E-5</v>
      </c>
      <c r="S120" s="302"/>
      <c r="T120" s="302"/>
    </row>
    <row r="121" spans="1:20" s="300" customFormat="1" ht="33.75" customHeight="1" x14ac:dyDescent="0.2">
      <c r="A121" s="251"/>
      <c r="B121" s="964" t="s">
        <v>268</v>
      </c>
      <c r="C121" s="106" t="s">
        <v>921</v>
      </c>
      <c r="D121" s="106" t="s">
        <v>272</v>
      </c>
      <c r="E121" s="227"/>
      <c r="F121" s="105">
        <v>0.9</v>
      </c>
      <c r="G121" s="965">
        <v>1233</v>
      </c>
      <c r="H121" s="105"/>
      <c r="I121" s="227"/>
      <c r="J121" s="966">
        <f>G121/F121</f>
        <v>1370</v>
      </c>
      <c r="K121" s="105">
        <v>14.7</v>
      </c>
      <c r="L121" s="168" t="s">
        <v>273</v>
      </c>
      <c r="M121" s="228" t="s">
        <v>274</v>
      </c>
      <c r="N121" s="105">
        <f>ROUND(((F121*K121)/(3600)),5)</f>
        <v>3.6800000000000001E-3</v>
      </c>
      <c r="O121" s="105">
        <f>ROUND((G121*K121/1000000),5)</f>
        <v>1.813E-2</v>
      </c>
      <c r="P121" s="105">
        <v>95</v>
      </c>
      <c r="Q121" s="105">
        <f>ROUND((N121*(1-P121/100)),6)</f>
        <v>1.84E-4</v>
      </c>
      <c r="R121" s="105">
        <f>ROUND((O121*(1-P121/100)),6)</f>
        <v>9.0700000000000004E-4</v>
      </c>
      <c r="S121" s="302"/>
      <c r="T121" s="302"/>
    </row>
    <row r="122" spans="1:20" s="300" customFormat="1" ht="12" x14ac:dyDescent="0.2">
      <c r="A122" s="251"/>
      <c r="B122" s="1109" t="s">
        <v>152</v>
      </c>
      <c r="C122" s="1109" t="s">
        <v>276</v>
      </c>
      <c r="D122" s="98" t="s">
        <v>134</v>
      </c>
      <c r="E122" s="98">
        <v>20</v>
      </c>
      <c r="F122" s="98"/>
      <c r="G122" s="98"/>
      <c r="H122" s="97">
        <v>2.44</v>
      </c>
      <c r="I122" s="93">
        <v>754</v>
      </c>
      <c r="J122" s="97">
        <f>ROUND((I122/H122),0)</f>
        <v>309</v>
      </c>
      <c r="K122" s="227">
        <v>24.9</v>
      </c>
      <c r="L122" s="168" t="s">
        <v>273</v>
      </c>
      <c r="M122" s="228" t="s">
        <v>274</v>
      </c>
      <c r="N122" s="105">
        <f>ROUND((K122*H122/3600),5)</f>
        <v>1.6879999999999999E-2</v>
      </c>
      <c r="O122" s="105">
        <f>ROUND((K122*I122/1000000),5)</f>
        <v>1.8769999999999998E-2</v>
      </c>
      <c r="P122" s="105">
        <v>95</v>
      </c>
      <c r="Q122" s="105">
        <f>ROUND((N122*(1-P122/100)),5)</f>
        <v>8.4000000000000003E-4</v>
      </c>
      <c r="R122" s="105">
        <f t="shared" ref="R122" si="11">ROUND((O122*(1-P122/100)),5)</f>
        <v>9.3999999999999997E-4</v>
      </c>
      <c r="S122" s="302"/>
      <c r="T122" s="302"/>
    </row>
    <row r="123" spans="1:20" s="300" customFormat="1" ht="12" x14ac:dyDescent="0.2">
      <c r="A123" s="251"/>
      <c r="B123" s="1110"/>
      <c r="C123" s="1110"/>
      <c r="D123" s="232"/>
      <c r="E123" s="232"/>
      <c r="F123" s="99"/>
      <c r="G123" s="99"/>
      <c r="H123" s="94"/>
      <c r="I123" s="95"/>
      <c r="J123" s="224"/>
      <c r="K123" s="227">
        <v>0.05</v>
      </c>
      <c r="L123" s="168" t="s">
        <v>264</v>
      </c>
      <c r="M123" s="228" t="s">
        <v>265</v>
      </c>
      <c r="N123" s="105">
        <f>ROUND((K123*H122/3600),5)</f>
        <v>3.0000000000000001E-5</v>
      </c>
      <c r="O123" s="105">
        <f>ROUND((K123*I122/1000000),5)</f>
        <v>4.0000000000000003E-5</v>
      </c>
      <c r="P123" s="105">
        <v>95</v>
      </c>
      <c r="Q123" s="105">
        <f>ROUND((N123*(1-P123/100)),6)</f>
        <v>1.9999999999999999E-6</v>
      </c>
      <c r="R123" s="105">
        <f>ROUND((O123*(1-P123/100)),6)</f>
        <v>1.9999999999999999E-6</v>
      </c>
      <c r="S123" s="302"/>
      <c r="T123" s="302"/>
    </row>
    <row r="124" spans="1:20" s="300" customFormat="1" ht="12" x14ac:dyDescent="0.2">
      <c r="A124" s="251"/>
      <c r="B124" s="1110"/>
      <c r="C124" s="1110"/>
      <c r="D124" s="232"/>
      <c r="E124" s="232"/>
      <c r="F124" s="99"/>
      <c r="G124" s="99"/>
      <c r="H124" s="94"/>
      <c r="I124" s="95"/>
      <c r="J124" s="224"/>
      <c r="K124" s="227">
        <v>0.05</v>
      </c>
      <c r="L124" s="168" t="s">
        <v>132</v>
      </c>
      <c r="M124" s="228" t="s">
        <v>133</v>
      </c>
      <c r="N124" s="105">
        <f>ROUND((K124*H122/3600),5)</f>
        <v>3.0000000000000001E-5</v>
      </c>
      <c r="O124" s="105">
        <f>ROUND((K124*I122/1000000),5)</f>
        <v>4.0000000000000003E-5</v>
      </c>
      <c r="P124" s="105">
        <v>95</v>
      </c>
      <c r="Q124" s="105">
        <f>ROUND((N124*(1-P124/100)),6)</f>
        <v>1.9999999999999999E-6</v>
      </c>
      <c r="R124" s="105">
        <f>ROUND((O124*(1-P124/100)),6)</f>
        <v>1.9999999999999999E-6</v>
      </c>
      <c r="S124" s="302"/>
      <c r="T124" s="302"/>
    </row>
    <row r="125" spans="1:20" s="300" customFormat="1" ht="12" x14ac:dyDescent="0.2">
      <c r="A125" s="251"/>
      <c r="B125" s="1110"/>
      <c r="C125" s="1110"/>
      <c r="D125" s="232"/>
      <c r="E125" s="232"/>
      <c r="F125" s="99"/>
      <c r="G125" s="99"/>
      <c r="H125" s="94"/>
      <c r="I125" s="95"/>
      <c r="J125" s="224"/>
      <c r="K125" s="227">
        <v>2.5</v>
      </c>
      <c r="L125" s="168" t="s">
        <v>135</v>
      </c>
      <c r="M125" s="228" t="s">
        <v>66</v>
      </c>
      <c r="N125" s="105">
        <f>ROUND((K125*H122/3600),5)</f>
        <v>1.6900000000000001E-3</v>
      </c>
      <c r="O125" s="105">
        <f>ROUND((K125*I122/1000000),5)</f>
        <v>1.89E-3</v>
      </c>
      <c r="P125" s="241"/>
      <c r="Q125" s="105">
        <f>ROUND((N125*(1-P125/100)),6)</f>
        <v>1.6900000000000001E-3</v>
      </c>
      <c r="R125" s="105">
        <f>ROUND((O125*(1-P125/100)),6)</f>
        <v>1.89E-3</v>
      </c>
      <c r="S125" s="302"/>
      <c r="T125" s="302"/>
    </row>
    <row r="126" spans="1:20" s="300" customFormat="1" ht="12" x14ac:dyDescent="0.2">
      <c r="A126" s="252"/>
      <c r="B126" s="1111"/>
      <c r="C126" s="1111"/>
      <c r="D126" s="242"/>
      <c r="E126" s="242"/>
      <c r="F126" s="102"/>
      <c r="G126" s="102"/>
      <c r="H126" s="101"/>
      <c r="I126" s="125"/>
      <c r="J126" s="238"/>
      <c r="K126" s="227">
        <v>1</v>
      </c>
      <c r="L126" s="967" t="s">
        <v>48</v>
      </c>
      <c r="M126" s="968" t="s">
        <v>49</v>
      </c>
      <c r="N126" s="105">
        <f>ROUND((K126*H122/3600),5)</f>
        <v>6.8000000000000005E-4</v>
      </c>
      <c r="O126" s="105">
        <f>ROUND((K126*I122/1000000),5)</f>
        <v>7.5000000000000002E-4</v>
      </c>
      <c r="P126" s="241"/>
      <c r="Q126" s="105">
        <f>ROUND((N126*(1-P126/100)),6)</f>
        <v>6.8000000000000005E-4</v>
      </c>
      <c r="R126" s="105">
        <f>ROUND((O126*(1-P126/100)),6)</f>
        <v>7.5000000000000002E-4</v>
      </c>
      <c r="S126" s="302"/>
      <c r="T126" s="302"/>
    </row>
    <row r="127" spans="1:20" s="300" customFormat="1" ht="12" x14ac:dyDescent="0.2">
      <c r="A127" s="1119" t="s">
        <v>287</v>
      </c>
      <c r="B127" s="1120"/>
      <c r="C127" s="1120"/>
      <c r="D127" s="1120"/>
      <c r="E127" s="1120"/>
      <c r="F127" s="1120"/>
      <c r="G127" s="1120"/>
      <c r="H127" s="1120"/>
      <c r="I127" s="1120"/>
      <c r="J127" s="1120"/>
      <c r="K127" s="1121"/>
      <c r="L127" s="783" t="s">
        <v>130</v>
      </c>
      <c r="M127" s="784" t="s">
        <v>131</v>
      </c>
      <c r="N127" s="785"/>
      <c r="O127" s="785"/>
      <c r="P127" s="785"/>
      <c r="Q127" s="786">
        <f>Q113+Q117</f>
        <v>1.34E-4</v>
      </c>
      <c r="R127" s="786">
        <f>R113+R117</f>
        <v>6.3000000000000003E-4</v>
      </c>
      <c r="S127" s="863"/>
      <c r="T127" s="863"/>
    </row>
    <row r="128" spans="1:20" s="300" customFormat="1" ht="12" x14ac:dyDescent="0.2">
      <c r="A128" s="1119"/>
      <c r="B128" s="1120"/>
      <c r="C128" s="1120"/>
      <c r="D128" s="1120"/>
      <c r="E128" s="1120"/>
      <c r="F128" s="1120"/>
      <c r="G128" s="1120"/>
      <c r="H128" s="1120"/>
      <c r="I128" s="1120"/>
      <c r="J128" s="1120"/>
      <c r="K128" s="1121"/>
      <c r="L128" s="783" t="s">
        <v>132</v>
      </c>
      <c r="M128" s="784" t="s">
        <v>133</v>
      </c>
      <c r="N128" s="785"/>
      <c r="O128" s="785"/>
      <c r="P128" s="785"/>
      <c r="Q128" s="786">
        <f>Q114+Q118+Q124</f>
        <v>6.4999999999999994E-5</v>
      </c>
      <c r="R128" s="786">
        <f>R114+R118+R124</f>
        <v>3.1100000000000002E-4</v>
      </c>
      <c r="S128" s="863"/>
      <c r="T128" s="863"/>
    </row>
    <row r="129" spans="1:24" s="300" customFormat="1" ht="12" x14ac:dyDescent="0.2">
      <c r="A129" s="1119"/>
      <c r="B129" s="1120"/>
      <c r="C129" s="1120"/>
      <c r="D129" s="1120"/>
      <c r="E129" s="1120"/>
      <c r="F129" s="1120"/>
      <c r="G129" s="1120"/>
      <c r="H129" s="1120"/>
      <c r="I129" s="1120"/>
      <c r="J129" s="1120"/>
      <c r="K129" s="1121"/>
      <c r="L129" s="783" t="s">
        <v>264</v>
      </c>
      <c r="M129" s="784" t="s">
        <v>265</v>
      </c>
      <c r="N129" s="789"/>
      <c r="O129" s="789"/>
      <c r="P129" s="789"/>
      <c r="Q129" s="790">
        <f>Q115+Q119+Q123</f>
        <v>1.2999999999999999E-5</v>
      </c>
      <c r="R129" s="790">
        <f>R115+R119+R123</f>
        <v>5.2000000000000004E-5</v>
      </c>
      <c r="S129" s="863"/>
      <c r="T129" s="863"/>
    </row>
    <row r="130" spans="1:24" s="300" customFormat="1" ht="12" x14ac:dyDescent="0.2">
      <c r="A130" s="1119"/>
      <c r="B130" s="1120"/>
      <c r="C130" s="1120"/>
      <c r="D130" s="1120"/>
      <c r="E130" s="1120"/>
      <c r="F130" s="1120"/>
      <c r="G130" s="1120"/>
      <c r="H130" s="1120"/>
      <c r="I130" s="1120"/>
      <c r="J130" s="1120"/>
      <c r="K130" s="1121"/>
      <c r="L130" s="783" t="s">
        <v>141</v>
      </c>
      <c r="M130" s="784" t="s">
        <v>142</v>
      </c>
      <c r="N130" s="789"/>
      <c r="O130" s="789"/>
      <c r="P130" s="789"/>
      <c r="Q130" s="790">
        <f>Q116</f>
        <v>2.2000000000000001E-4</v>
      </c>
      <c r="R130" s="790">
        <f>R116</f>
        <v>9.2000000000000003E-4</v>
      </c>
      <c r="S130" s="863"/>
      <c r="T130" s="863"/>
    </row>
    <row r="131" spans="1:24" s="300" customFormat="1" ht="12" x14ac:dyDescent="0.2">
      <c r="A131" s="1119"/>
      <c r="B131" s="1120"/>
      <c r="C131" s="1120"/>
      <c r="D131" s="1120"/>
      <c r="E131" s="1120"/>
      <c r="F131" s="1120"/>
      <c r="G131" s="1120"/>
      <c r="H131" s="1120"/>
      <c r="I131" s="1120"/>
      <c r="J131" s="1120"/>
      <c r="K131" s="1121"/>
      <c r="L131" s="791" t="s">
        <v>270</v>
      </c>
      <c r="M131" s="784" t="s">
        <v>271</v>
      </c>
      <c r="N131" s="785"/>
      <c r="O131" s="785"/>
      <c r="P131" s="785"/>
      <c r="Q131" s="786">
        <f>Q120</f>
        <v>3.0000000000000001E-6</v>
      </c>
      <c r="R131" s="786">
        <f>R120</f>
        <v>1.1E-5</v>
      </c>
      <c r="S131" s="863"/>
      <c r="T131" s="863"/>
    </row>
    <row r="132" spans="1:24" s="300" customFormat="1" ht="12" x14ac:dyDescent="0.2">
      <c r="A132" s="1119"/>
      <c r="B132" s="1120"/>
      <c r="C132" s="1120"/>
      <c r="D132" s="1120"/>
      <c r="E132" s="1120"/>
      <c r="F132" s="1120"/>
      <c r="G132" s="1120"/>
      <c r="H132" s="1120"/>
      <c r="I132" s="1120"/>
      <c r="J132" s="1120"/>
      <c r="K132" s="1121"/>
      <c r="L132" s="783" t="s">
        <v>273</v>
      </c>
      <c r="M132" s="784" t="s">
        <v>274</v>
      </c>
      <c r="N132" s="785"/>
      <c r="O132" s="785"/>
      <c r="P132" s="785"/>
      <c r="Q132" s="786">
        <f>Q121+Q122</f>
        <v>1.024E-3</v>
      </c>
      <c r="R132" s="786">
        <f>R121+R122</f>
        <v>1.8470000000000001E-3</v>
      </c>
      <c r="S132" s="863"/>
      <c r="T132" s="863"/>
    </row>
    <row r="133" spans="1:24" s="300" customFormat="1" ht="12" x14ac:dyDescent="0.2">
      <c r="A133" s="1119"/>
      <c r="B133" s="1120"/>
      <c r="C133" s="1120"/>
      <c r="D133" s="1120"/>
      <c r="E133" s="1120"/>
      <c r="F133" s="1120"/>
      <c r="G133" s="1120"/>
      <c r="H133" s="1120"/>
      <c r="I133" s="1120"/>
      <c r="J133" s="1120"/>
      <c r="K133" s="1121"/>
      <c r="L133" s="783" t="s">
        <v>135</v>
      </c>
      <c r="M133" s="784" t="s">
        <v>66</v>
      </c>
      <c r="N133" s="785"/>
      <c r="O133" s="785"/>
      <c r="P133" s="785"/>
      <c r="Q133" s="786">
        <f>Q125</f>
        <v>1.6900000000000001E-3</v>
      </c>
      <c r="R133" s="786">
        <f>R125</f>
        <v>1.89E-3</v>
      </c>
      <c r="S133" s="863"/>
      <c r="T133" s="863"/>
    </row>
    <row r="134" spans="1:24" s="300" customFormat="1" ht="12" x14ac:dyDescent="0.2">
      <c r="A134" s="1122"/>
      <c r="B134" s="1123"/>
      <c r="C134" s="1123"/>
      <c r="D134" s="1123"/>
      <c r="E134" s="1123"/>
      <c r="F134" s="1123"/>
      <c r="G134" s="1123"/>
      <c r="H134" s="1123"/>
      <c r="I134" s="1123"/>
      <c r="J134" s="1123"/>
      <c r="K134" s="1124"/>
      <c r="L134" s="969" t="s">
        <v>48</v>
      </c>
      <c r="M134" s="970" t="s">
        <v>49</v>
      </c>
      <c r="N134" s="785"/>
      <c r="O134" s="785"/>
      <c r="P134" s="785"/>
      <c r="Q134" s="786">
        <f>Q126</f>
        <v>6.8000000000000005E-4</v>
      </c>
      <c r="R134" s="786">
        <f>R126</f>
        <v>7.5000000000000002E-4</v>
      </c>
      <c r="S134" s="302">
        <f>SUM(Q127:Q134)</f>
        <v>3.8289999999999999E-3</v>
      </c>
      <c r="T134" s="302">
        <f>SUM(R127:R134)</f>
        <v>6.411E-3</v>
      </c>
    </row>
    <row r="135" spans="1:24" s="300" customFormat="1" ht="12" x14ac:dyDescent="0.2">
      <c r="A135" s="1113" t="s">
        <v>280</v>
      </c>
      <c r="B135" s="1114"/>
      <c r="C135" s="1114"/>
      <c r="D135" s="1114"/>
      <c r="E135" s="1114"/>
      <c r="F135" s="1114"/>
      <c r="G135" s="1114"/>
      <c r="H135" s="1114"/>
      <c r="I135" s="1114"/>
      <c r="J135" s="1114"/>
      <c r="K135" s="1114"/>
      <c r="L135" s="1114"/>
      <c r="M135" s="1114"/>
      <c r="N135" s="1114"/>
      <c r="O135" s="1114"/>
      <c r="P135" s="1114"/>
      <c r="Q135" s="1114"/>
      <c r="R135" s="1115"/>
      <c r="S135" s="862"/>
      <c r="T135" s="862"/>
    </row>
    <row r="136" spans="1:24" s="300" customFormat="1" ht="12" x14ac:dyDescent="0.2">
      <c r="A136" s="574" t="s">
        <v>291</v>
      </c>
      <c r="B136" s="1100" t="s">
        <v>283</v>
      </c>
      <c r="C136" s="1103" t="s">
        <v>188</v>
      </c>
      <c r="D136" s="491" t="s">
        <v>137</v>
      </c>
      <c r="E136" s="490"/>
      <c r="F136" s="756">
        <v>0.63</v>
      </c>
      <c r="G136" s="757">
        <v>97.7</v>
      </c>
      <c r="H136" s="490"/>
      <c r="I136" s="757"/>
      <c r="J136" s="758">
        <f>G136/F136</f>
        <v>155.07936507936509</v>
      </c>
      <c r="K136" s="759">
        <v>10.69</v>
      </c>
      <c r="L136" s="760" t="s">
        <v>130</v>
      </c>
      <c r="M136" s="761" t="s">
        <v>131</v>
      </c>
      <c r="N136" s="762">
        <f>ROUND(((F136*K136)/(3600)),5)</f>
        <v>1.8699999999999999E-3</v>
      </c>
      <c r="O136" s="762">
        <f>ROUND((G136*K136/1000000),5)</f>
        <v>1.0399999999999999E-3</v>
      </c>
      <c r="P136" s="762">
        <v>95</v>
      </c>
      <c r="Q136" s="762">
        <f>ROUND((N136*(1-P136/100)),6)</f>
        <v>9.3999999999999994E-5</v>
      </c>
      <c r="R136" s="762">
        <f t="shared" ref="R136:R139" si="12">ROUND((O136*(1-P136/100)),5)</f>
        <v>5.0000000000000002E-5</v>
      </c>
      <c r="S136" s="302"/>
      <c r="T136" s="302"/>
      <c r="U136" s="301"/>
      <c r="W136" s="301"/>
      <c r="X136" s="301"/>
    </row>
    <row r="137" spans="1:24" s="300" customFormat="1" ht="12" x14ac:dyDescent="0.2">
      <c r="A137" s="575" t="s">
        <v>150</v>
      </c>
      <c r="B137" s="1101"/>
      <c r="C137" s="1104"/>
      <c r="D137" s="763" t="s">
        <v>157</v>
      </c>
      <c r="E137" s="576"/>
      <c r="F137" s="764"/>
      <c r="G137" s="765"/>
      <c r="H137" s="576"/>
      <c r="I137" s="765"/>
      <c r="J137" s="576"/>
      <c r="K137" s="759">
        <v>0.92</v>
      </c>
      <c r="L137" s="760" t="s">
        <v>132</v>
      </c>
      <c r="M137" s="761" t="s">
        <v>133</v>
      </c>
      <c r="N137" s="762">
        <f>ROUND(((F136*K137)/(3600)),5)</f>
        <v>1.6000000000000001E-4</v>
      </c>
      <c r="O137" s="762">
        <f>ROUND((G136*K137/1000000),5)</f>
        <v>9.0000000000000006E-5</v>
      </c>
      <c r="P137" s="762">
        <v>95</v>
      </c>
      <c r="Q137" s="762">
        <f>ROUND((N137*(1-P137/100)),5)</f>
        <v>1.0000000000000001E-5</v>
      </c>
      <c r="R137" s="762">
        <f>ROUND((O137*(1-P137/100)),6)</f>
        <v>5.0000000000000004E-6</v>
      </c>
      <c r="S137" s="302"/>
      <c r="T137" s="302"/>
      <c r="U137" s="301"/>
      <c r="V137" s="301"/>
      <c r="W137" s="301"/>
      <c r="X137" s="301"/>
    </row>
    <row r="138" spans="1:24" s="300" customFormat="1" ht="12" x14ac:dyDescent="0.2">
      <c r="A138" s="770"/>
      <c r="B138" s="1101"/>
      <c r="C138" s="1104"/>
      <c r="D138" s="763"/>
      <c r="E138" s="576"/>
      <c r="F138" s="764"/>
      <c r="G138" s="765"/>
      <c r="H138" s="576"/>
      <c r="I138" s="765"/>
      <c r="J138" s="576"/>
      <c r="K138" s="759">
        <v>1.4</v>
      </c>
      <c r="L138" s="766" t="s">
        <v>129</v>
      </c>
      <c r="M138" s="761" t="s">
        <v>140</v>
      </c>
      <c r="N138" s="762">
        <f>ROUND(((F136*K138)/(3600)),5)</f>
        <v>2.5000000000000001E-4</v>
      </c>
      <c r="O138" s="762">
        <f>ROUND((G136*K138/1000000),5)</f>
        <v>1.3999999999999999E-4</v>
      </c>
      <c r="P138" s="762">
        <v>95</v>
      </c>
      <c r="Q138" s="762">
        <f>ROUND((N138*(1-P138/100)),6)</f>
        <v>1.2999999999999999E-5</v>
      </c>
      <c r="R138" s="762">
        <f t="shared" si="12"/>
        <v>1.0000000000000001E-5</v>
      </c>
      <c r="S138" s="302"/>
      <c r="T138" s="302"/>
      <c r="U138" s="301"/>
      <c r="V138" s="301"/>
      <c r="W138" s="301"/>
      <c r="X138" s="301"/>
    </row>
    <row r="139" spans="1:24" s="300" customFormat="1" ht="12" x14ac:dyDescent="0.2">
      <c r="A139" s="770"/>
      <c r="B139" s="1101"/>
      <c r="C139" s="1104"/>
      <c r="D139" s="763"/>
      <c r="E139" s="576"/>
      <c r="F139" s="767"/>
      <c r="G139" s="768"/>
      <c r="H139" s="770"/>
      <c r="I139" s="768"/>
      <c r="J139" s="770"/>
      <c r="K139" s="759">
        <v>3.3</v>
      </c>
      <c r="L139" s="760" t="s">
        <v>138</v>
      </c>
      <c r="M139" s="761" t="s">
        <v>139</v>
      </c>
      <c r="N139" s="762">
        <f>ROUND(((F136*K139)/(3600)),5)</f>
        <v>5.8E-4</v>
      </c>
      <c r="O139" s="762">
        <f>ROUND((G136*K139/1000000),5)</f>
        <v>3.2000000000000003E-4</v>
      </c>
      <c r="P139" s="762">
        <v>95</v>
      </c>
      <c r="Q139" s="762">
        <f>ROUND((N139*(1-P139/100)),6)</f>
        <v>2.9E-5</v>
      </c>
      <c r="R139" s="762">
        <f t="shared" si="12"/>
        <v>2.0000000000000002E-5</v>
      </c>
      <c r="S139" s="302"/>
      <c r="T139" s="302"/>
      <c r="U139" s="301"/>
      <c r="V139" s="301"/>
      <c r="W139" s="301"/>
      <c r="X139" s="301"/>
    </row>
    <row r="140" spans="1:24" s="300" customFormat="1" ht="12" x14ac:dyDescent="0.2">
      <c r="A140" s="770"/>
      <c r="B140" s="1101"/>
      <c r="C140" s="1104"/>
      <c r="D140" s="771"/>
      <c r="E140" s="772"/>
      <c r="F140" s="767"/>
      <c r="G140" s="768"/>
      <c r="H140" s="770"/>
      <c r="I140" s="768"/>
      <c r="J140" s="770"/>
      <c r="K140" s="759">
        <v>0.75</v>
      </c>
      <c r="L140" s="760" t="s">
        <v>141</v>
      </c>
      <c r="M140" s="761" t="s">
        <v>142</v>
      </c>
      <c r="N140" s="773">
        <f>ROUND(((F136*K140)/(3600)),5)</f>
        <v>1.2999999999999999E-4</v>
      </c>
      <c r="O140" s="773">
        <f>ROUND((G136*K140/1000000),5)</f>
        <v>6.9999999999999994E-5</v>
      </c>
      <c r="P140" s="762"/>
      <c r="Q140" s="762">
        <f>ROUND((N140*(1-P140/100)),8)</f>
        <v>1.2999999999999999E-4</v>
      </c>
      <c r="R140" s="762">
        <f>ROUND((O140*(1-P140/100)),8)</f>
        <v>6.9999999999999994E-5</v>
      </c>
      <c r="S140" s="302"/>
      <c r="T140" s="302"/>
      <c r="U140" s="301"/>
      <c r="V140" s="301"/>
      <c r="W140" s="301"/>
      <c r="X140" s="301"/>
    </row>
    <row r="141" spans="1:24" s="300" customFormat="1" ht="12" x14ac:dyDescent="0.2">
      <c r="A141" s="770"/>
      <c r="B141" s="1101"/>
      <c r="C141" s="1104"/>
      <c r="D141" s="769"/>
      <c r="E141" s="770"/>
      <c r="F141" s="767"/>
      <c r="G141" s="768"/>
      <c r="H141" s="770"/>
      <c r="I141" s="768"/>
      <c r="J141" s="770"/>
      <c r="K141" s="759">
        <v>1.5</v>
      </c>
      <c r="L141" s="774" t="s">
        <v>48</v>
      </c>
      <c r="M141" s="775" t="s">
        <v>49</v>
      </c>
      <c r="N141" s="762">
        <f>ROUND(((F136*K141)/(3600)),5)</f>
        <v>2.5999999999999998E-4</v>
      </c>
      <c r="O141" s="762">
        <f>ROUND((G136*K141/1000000),5)</f>
        <v>1.4999999999999999E-4</v>
      </c>
      <c r="P141" s="762"/>
      <c r="Q141" s="762">
        <f>ROUND((N141*(1-P141/100)),6)</f>
        <v>2.5999999999999998E-4</v>
      </c>
      <c r="R141" s="762">
        <f t="shared" ref="R141:R142" si="13">ROUND((O141*(1-P141/100)),5)</f>
        <v>1.4999999999999999E-4</v>
      </c>
      <c r="S141" s="302"/>
      <c r="T141" s="302"/>
      <c r="U141" s="301"/>
      <c r="V141" s="301"/>
      <c r="W141" s="301"/>
      <c r="X141" s="301"/>
    </row>
    <row r="142" spans="1:24" s="300" customFormat="1" ht="12" x14ac:dyDescent="0.2">
      <c r="A142" s="777"/>
      <c r="B142" s="1102"/>
      <c r="C142" s="1105"/>
      <c r="D142" s="776"/>
      <c r="E142" s="777"/>
      <c r="F142" s="778"/>
      <c r="G142" s="779"/>
      <c r="H142" s="777"/>
      <c r="I142" s="779"/>
      <c r="J142" s="777"/>
      <c r="K142" s="759">
        <v>13.3</v>
      </c>
      <c r="L142" s="760" t="s">
        <v>135</v>
      </c>
      <c r="M142" s="761" t="s">
        <v>66</v>
      </c>
      <c r="N142" s="762">
        <f>ROUND(((F136*K142)/(3600)),5)</f>
        <v>2.33E-3</v>
      </c>
      <c r="O142" s="762">
        <f>ROUND((G136*K142/1000000),5)</f>
        <v>1.2999999999999999E-3</v>
      </c>
      <c r="P142" s="762"/>
      <c r="Q142" s="762">
        <f>ROUND((N142*(1-P142/100)),5)</f>
        <v>2.33E-3</v>
      </c>
      <c r="R142" s="762">
        <f t="shared" si="13"/>
        <v>1.2999999999999999E-3</v>
      </c>
      <c r="S142" s="302">
        <f>SUM(Q136:Q142)</f>
        <v>2.8660000000000001E-3</v>
      </c>
      <c r="T142" s="302">
        <f>SUM(R136:R142)</f>
        <v>1.6049999999999999E-3</v>
      </c>
      <c r="U142" s="301"/>
      <c r="V142" s="301"/>
      <c r="W142" s="301"/>
      <c r="X142" s="301"/>
    </row>
    <row r="143" spans="1:24" x14ac:dyDescent="0.25">
      <c r="S143" s="864">
        <f>SUM(S88:S142)</f>
        <v>4.6106000000000001E-2</v>
      </c>
      <c r="T143" s="864">
        <f>SUM(T88:T142)</f>
        <v>0.13644099999999998</v>
      </c>
    </row>
    <row r="144" spans="1:24" s="250" customFormat="1" ht="11.25" x14ac:dyDescent="0.2"/>
    <row r="145" s="250" customFormat="1" ht="11.25" x14ac:dyDescent="0.2"/>
    <row r="146" s="250" customFormat="1" ht="11.25" x14ac:dyDescent="0.2"/>
    <row r="147" s="250" customFormat="1" ht="11.25" x14ac:dyDescent="0.2"/>
    <row r="148" s="250" customFormat="1" ht="11.25" x14ac:dyDescent="0.2"/>
    <row r="149" s="250" customFormat="1" ht="11.25" x14ac:dyDescent="0.2"/>
    <row r="150" s="250" customFormat="1" ht="11.25" x14ac:dyDescent="0.2"/>
    <row r="151" s="250" customFormat="1" ht="11.25" x14ac:dyDescent="0.2"/>
    <row r="152" s="250" customFormat="1" ht="11.25" x14ac:dyDescent="0.2"/>
    <row r="153" s="250" customFormat="1" ht="11.25" x14ac:dyDescent="0.2"/>
    <row r="154" s="250" customFormat="1" ht="11.25" x14ac:dyDescent="0.2"/>
    <row r="155" s="250" customFormat="1" ht="11.25" x14ac:dyDescent="0.2"/>
    <row r="156" s="250" customFormat="1" ht="11.25" x14ac:dyDescent="0.2"/>
    <row r="157" s="250" customFormat="1" ht="11.25" x14ac:dyDescent="0.2"/>
    <row r="158" s="250" customFormat="1" ht="11.25" x14ac:dyDescent="0.2"/>
    <row r="159" s="250" customFormat="1" ht="11.25" x14ac:dyDescent="0.2"/>
    <row r="160" s="250" customFormat="1" ht="11.25" x14ac:dyDescent="0.2"/>
    <row r="161" s="250" customFormat="1" ht="11.25" x14ac:dyDescent="0.2"/>
    <row r="162" s="250" customFormat="1" ht="11.25" x14ac:dyDescent="0.2"/>
    <row r="163" s="250" customFormat="1" ht="11.25" x14ac:dyDescent="0.2"/>
    <row r="164" s="250" customFormat="1" ht="11.25" x14ac:dyDescent="0.2"/>
    <row r="165" s="250" customFormat="1" ht="11.25" x14ac:dyDescent="0.2"/>
    <row r="166" s="250" customFormat="1" ht="11.25" x14ac:dyDescent="0.2"/>
    <row r="167" s="250" customFormat="1" ht="11.25" x14ac:dyDescent="0.2"/>
    <row r="168" s="250" customFormat="1" ht="11.25" x14ac:dyDescent="0.2"/>
    <row r="169" s="250" customFormat="1" ht="11.25" x14ac:dyDescent="0.2"/>
  </sheetData>
  <mergeCells count="73">
    <mergeCell ref="P40:P41"/>
    <mergeCell ref="A105:K111"/>
    <mergeCell ref="A43:R43"/>
    <mergeCell ref="A44:R44"/>
    <mergeCell ref="B45:B47"/>
    <mergeCell ref="C45:C47"/>
    <mergeCell ref="B48:B51"/>
    <mergeCell ref="C48:C51"/>
    <mergeCell ref="A90:R90"/>
    <mergeCell ref="B76:B82"/>
    <mergeCell ref="C76:C82"/>
    <mergeCell ref="A83:K89"/>
    <mergeCell ref="L40:L41"/>
    <mergeCell ref="M40:M41"/>
    <mergeCell ref="N40:O40"/>
    <mergeCell ref="A40:A41"/>
    <mergeCell ref="B66:B72"/>
    <mergeCell ref="C66:C72"/>
    <mergeCell ref="B73:B75"/>
    <mergeCell ref="C91:C97"/>
    <mergeCell ref="B91:B97"/>
    <mergeCell ref="B40:B41"/>
    <mergeCell ref="D40:D41"/>
    <mergeCell ref="F40:G40"/>
    <mergeCell ref="J40:J41"/>
    <mergeCell ref="A135:R135"/>
    <mergeCell ref="A112:R112"/>
    <mergeCell ref="B113:B116"/>
    <mergeCell ref="C113:C116"/>
    <mergeCell ref="A127:K134"/>
    <mergeCell ref="B52:B58"/>
    <mergeCell ref="C52:C58"/>
    <mergeCell ref="B59:B65"/>
    <mergeCell ref="C59:C65"/>
    <mergeCell ref="C73:C75"/>
    <mergeCell ref="B98:B104"/>
    <mergeCell ref="C98:C104"/>
    <mergeCell ref="B136:B142"/>
    <mergeCell ref="C136:C142"/>
    <mergeCell ref="B117:B120"/>
    <mergeCell ref="C117:C120"/>
    <mergeCell ref="B122:B126"/>
    <mergeCell ref="C122:C126"/>
    <mergeCell ref="A1:Q1"/>
    <mergeCell ref="A4:Q4"/>
    <mergeCell ref="B6:O6"/>
    <mergeCell ref="H40:I40"/>
    <mergeCell ref="Q40:R40"/>
    <mergeCell ref="E40:E41"/>
    <mergeCell ref="A9:Q9"/>
    <mergeCell ref="A8:Q8"/>
    <mergeCell ref="A7:Q7"/>
    <mergeCell ref="A32:Q32"/>
    <mergeCell ref="A15:P15"/>
    <mergeCell ref="A18:Q18"/>
    <mergeCell ref="A39:Q39"/>
    <mergeCell ref="A35:Q35"/>
    <mergeCell ref="K40:K41"/>
    <mergeCell ref="C40:C41"/>
    <mergeCell ref="A17:K17"/>
    <mergeCell ref="A20:W20"/>
    <mergeCell ref="A27:Q27"/>
    <mergeCell ref="A28:Q29"/>
    <mergeCell ref="A3:N3"/>
    <mergeCell ref="A10:Q10"/>
    <mergeCell ref="A12:Q12"/>
    <mergeCell ref="A24:R24"/>
    <mergeCell ref="A16:K16"/>
    <mergeCell ref="A37:R37"/>
    <mergeCell ref="A33:K33"/>
    <mergeCell ref="A34:K34"/>
    <mergeCell ref="B22:O22"/>
    <mergeCell ref="A25:Q25"/>
  </mergeCells>
  <pageMargins left="0.31496062992125984" right="0.31496062992125984" top="0.78740157480314965" bottom="0.55118110236220474" header="0.31496062992125984" footer="0.31496062992125984"/>
  <pageSetup paperSize="9" firstPageNumber="26" orientation="landscape" useFirstPageNumber="1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U85"/>
  <sheetViews>
    <sheetView view="pageBreakPreview" topLeftCell="A17" zoomScale="115" zoomScaleNormal="100" zoomScaleSheetLayoutView="115" workbookViewId="0">
      <selection activeCell="C25" sqref="C25:C26"/>
    </sheetView>
  </sheetViews>
  <sheetFormatPr defaultRowHeight="15" x14ac:dyDescent="0.25"/>
  <cols>
    <col min="1" max="1" width="6.42578125" customWidth="1"/>
    <col min="2" max="2" width="21.140625" customWidth="1"/>
    <col min="3" max="3" width="22.7109375" customWidth="1"/>
    <col min="4" max="4" width="6.42578125" customWidth="1"/>
    <col min="5" max="5" width="3.85546875" customWidth="1"/>
    <col min="6" max="6" width="5.42578125" customWidth="1"/>
    <col min="7" max="7" width="8.7109375" customWidth="1"/>
    <col min="8" max="8" width="20.28515625" customWidth="1"/>
    <col min="9" max="9" width="4.85546875" customWidth="1"/>
    <col min="10" max="10" width="8.140625" customWidth="1"/>
    <col min="12" max="12" width="4.5703125" customWidth="1"/>
    <col min="13" max="13" width="8.28515625" customWidth="1"/>
    <col min="14" max="14" width="9.28515625" customWidth="1"/>
  </cols>
  <sheetData>
    <row r="1" spans="1:21" s="258" customFormat="1" ht="18.75" x14ac:dyDescent="0.3">
      <c r="A1" s="1154" t="s">
        <v>886</v>
      </c>
      <c r="B1" s="1154"/>
      <c r="C1" s="1154"/>
      <c r="D1" s="1154"/>
      <c r="E1" s="1154"/>
      <c r="F1" s="1154"/>
      <c r="G1" s="1154"/>
      <c r="H1" s="1154"/>
      <c r="I1" s="1154"/>
      <c r="J1" s="1154"/>
    </row>
    <row r="2" spans="1:21" s="258" customFormat="1" ht="18.75" x14ac:dyDescent="0.3">
      <c r="A2" s="259"/>
      <c r="B2" s="259"/>
      <c r="C2" s="259"/>
      <c r="D2" s="259"/>
      <c r="E2" s="259"/>
      <c r="F2" s="259"/>
      <c r="G2" s="259"/>
      <c r="H2" s="259"/>
      <c r="I2" s="259"/>
      <c r="J2" s="259"/>
    </row>
    <row r="3" spans="1:21" s="253" customFormat="1" ht="15.75" x14ac:dyDescent="0.25">
      <c r="A3" s="1155" t="s">
        <v>890</v>
      </c>
      <c r="B3" s="1155"/>
      <c r="C3" s="1155"/>
      <c r="D3" s="1155"/>
      <c r="E3" s="1155"/>
      <c r="F3" s="1155"/>
      <c r="G3" s="1155"/>
      <c r="H3" s="1155"/>
      <c r="I3" s="1155"/>
      <c r="J3" s="1155"/>
    </row>
    <row r="4" spans="1:21" s="253" customFormat="1" ht="15.75" customHeight="1" x14ac:dyDescent="0.25">
      <c r="A4" s="1093" t="s">
        <v>889</v>
      </c>
      <c r="B4" s="1093"/>
      <c r="C4" s="1093"/>
      <c r="D4" s="1093"/>
      <c r="E4" s="1093"/>
      <c r="F4" s="1093"/>
      <c r="G4" s="1093"/>
      <c r="H4" s="1093"/>
      <c r="I4" s="1093"/>
      <c r="J4" s="1093"/>
      <c r="K4" s="1093"/>
      <c r="L4" s="1093"/>
      <c r="M4" s="1093"/>
    </row>
    <row r="5" spans="1:21" s="253" customFormat="1" ht="15" customHeight="1" x14ac:dyDescent="0.25">
      <c r="A5" s="1093"/>
      <c r="B5" s="1093"/>
      <c r="C5" s="1093"/>
      <c r="D5" s="1093"/>
      <c r="E5" s="1093"/>
      <c r="F5" s="1093"/>
      <c r="G5" s="1093"/>
      <c r="H5" s="1093"/>
      <c r="I5" s="1093"/>
      <c r="J5" s="1093"/>
      <c r="K5" s="1093"/>
      <c r="L5" s="1093"/>
      <c r="M5" s="1093"/>
    </row>
    <row r="6" spans="1:21" s="253" customFormat="1" ht="15.75" x14ac:dyDescent="0.25">
      <c r="A6" s="217"/>
      <c r="B6" s="217"/>
      <c r="C6" s="217"/>
      <c r="D6" s="217"/>
      <c r="E6" s="217"/>
      <c r="F6" s="217"/>
      <c r="G6" s="217"/>
      <c r="H6" s="217"/>
      <c r="I6" s="217"/>
      <c r="J6" s="217"/>
    </row>
    <row r="7" spans="1:21" s="258" customFormat="1" ht="18.75" x14ac:dyDescent="0.3">
      <c r="A7" s="254" t="s">
        <v>879</v>
      </c>
      <c r="B7" s="255"/>
      <c r="C7" s="255"/>
      <c r="D7" s="256"/>
      <c r="E7" s="256"/>
      <c r="F7" s="256"/>
      <c r="G7" s="256"/>
      <c r="H7" s="255"/>
      <c r="I7" s="257"/>
      <c r="J7" s="257"/>
    </row>
    <row r="8" spans="1:21" s="258" customFormat="1" ht="18.75" x14ac:dyDescent="0.3">
      <c r="A8" s="1156" t="s">
        <v>880</v>
      </c>
      <c r="B8" s="1156"/>
      <c r="C8" s="1156"/>
      <c r="D8" s="1156"/>
      <c r="E8" s="1156"/>
      <c r="F8" s="1156"/>
      <c r="G8" s="1156"/>
      <c r="H8" s="1156"/>
      <c r="I8" s="1156"/>
      <c r="J8" s="1156"/>
    </row>
    <row r="9" spans="1:21" s="258" customFormat="1" ht="21.75" x14ac:dyDescent="0.3">
      <c r="A9" s="1156" t="s">
        <v>885</v>
      </c>
      <c r="B9" s="1156"/>
      <c r="C9" s="1156"/>
      <c r="D9" s="1156"/>
      <c r="E9" s="1156"/>
      <c r="F9" s="1156"/>
      <c r="G9" s="1156"/>
      <c r="H9" s="1156"/>
      <c r="I9" s="1156"/>
      <c r="J9" s="1156"/>
    </row>
    <row r="10" spans="1:21" s="264" customFormat="1" ht="15.75" x14ac:dyDescent="0.25">
      <c r="A10" s="216" t="s">
        <v>884</v>
      </c>
      <c r="B10" s="261"/>
      <c r="C10" s="261"/>
      <c r="D10" s="216"/>
      <c r="E10" s="261"/>
      <c r="F10" s="262"/>
      <c r="G10" s="263"/>
      <c r="H10" s="263"/>
      <c r="I10" s="263"/>
      <c r="J10" s="263"/>
    </row>
    <row r="11" spans="1:21" s="264" customFormat="1" ht="15.75" x14ac:dyDescent="0.25">
      <c r="A11" s="216" t="s">
        <v>881</v>
      </c>
      <c r="B11" s="261"/>
      <c r="C11" s="261"/>
      <c r="D11" s="216"/>
      <c r="E11" s="261"/>
      <c r="F11" s="262"/>
      <c r="G11" s="263"/>
      <c r="H11" s="263"/>
      <c r="I11" s="263"/>
      <c r="J11" s="263"/>
    </row>
    <row r="12" spans="1:21" s="264" customFormat="1" ht="15.75" x14ac:dyDescent="0.25">
      <c r="A12" s="216" t="s">
        <v>882</v>
      </c>
      <c r="B12" s="261"/>
      <c r="C12" s="261"/>
      <c r="D12" s="216"/>
      <c r="E12" s="261"/>
      <c r="F12" s="262"/>
      <c r="G12" s="263"/>
      <c r="H12" s="263"/>
      <c r="I12" s="263"/>
      <c r="J12" s="263"/>
    </row>
    <row r="13" spans="1:21" s="264" customFormat="1" ht="15.75" x14ac:dyDescent="0.25">
      <c r="A13" s="216" t="s">
        <v>883</v>
      </c>
      <c r="B13" s="261"/>
      <c r="C13" s="261"/>
      <c r="D13" s="216"/>
      <c r="E13" s="261"/>
      <c r="F13" s="262"/>
      <c r="G13" s="263"/>
      <c r="H13" s="263"/>
      <c r="I13" s="263"/>
      <c r="J13" s="263"/>
    </row>
    <row r="14" spans="1:21" s="264" customFormat="1" ht="15.75" x14ac:dyDescent="0.25">
      <c r="A14" s="216" t="s">
        <v>887</v>
      </c>
      <c r="B14" s="261"/>
      <c r="C14" s="261"/>
      <c r="D14" s="216"/>
      <c r="E14" s="261"/>
      <c r="F14" s="262"/>
      <c r="G14" s="263"/>
      <c r="H14" s="263"/>
      <c r="I14" s="263"/>
      <c r="J14" s="263"/>
    </row>
    <row r="15" spans="1:21" s="197" customFormat="1" ht="30" customHeight="1" x14ac:dyDescent="0.25">
      <c r="A15" s="1043" t="s">
        <v>1491</v>
      </c>
      <c r="B15" s="1043"/>
      <c r="C15" s="1043"/>
      <c r="D15" s="1043"/>
      <c r="E15" s="1043"/>
      <c r="F15" s="1043"/>
      <c r="G15" s="1043"/>
      <c r="H15" s="1043"/>
      <c r="I15" s="1043"/>
      <c r="J15" s="1043"/>
      <c r="K15" s="1043"/>
      <c r="L15" s="1043"/>
      <c r="M15" s="1043"/>
      <c r="N15" s="1043"/>
      <c r="O15" s="1043"/>
      <c r="P15" s="1043"/>
      <c r="Q15" s="1043"/>
      <c r="R15" s="1043"/>
      <c r="S15" s="266"/>
      <c r="T15" s="266"/>
      <c r="U15" s="266"/>
    </row>
    <row r="16" spans="1:21" s="253" customFormat="1" ht="1.5" customHeight="1" x14ac:dyDescent="0.25">
      <c r="A16" s="1153"/>
      <c r="B16" s="1153"/>
      <c r="C16" s="1153"/>
      <c r="D16" s="1153"/>
      <c r="E16" s="1153"/>
      <c r="F16" s="1153"/>
      <c r="G16" s="1153"/>
      <c r="H16" s="1153"/>
      <c r="I16" s="1153"/>
      <c r="J16" s="1153"/>
    </row>
    <row r="17" spans="1:16" s="253" customFormat="1" ht="18.75" x14ac:dyDescent="0.3">
      <c r="A17" s="265" t="s">
        <v>891</v>
      </c>
      <c r="B17" s="265"/>
      <c r="C17" s="265"/>
      <c r="D17" s="265"/>
      <c r="E17" s="265"/>
      <c r="F17" s="265"/>
      <c r="G17" s="265"/>
      <c r="H17" s="265"/>
      <c r="I17" s="265"/>
      <c r="J17" s="265"/>
    </row>
    <row r="18" spans="1:16" s="61" customFormat="1" ht="12.75" x14ac:dyDescent="0.2">
      <c r="A18" s="1171" t="s">
        <v>159</v>
      </c>
      <c r="B18" s="1176" t="s">
        <v>160</v>
      </c>
      <c r="C18" s="1171" t="s">
        <v>161</v>
      </c>
      <c r="D18" s="1176" t="s">
        <v>162</v>
      </c>
      <c r="E18" s="1176" t="s">
        <v>437</v>
      </c>
      <c r="F18" s="1176" t="s">
        <v>163</v>
      </c>
      <c r="G18" s="1178" t="s">
        <v>888</v>
      </c>
      <c r="H18" s="1171" t="s">
        <v>20</v>
      </c>
      <c r="I18" s="1171" t="s">
        <v>21</v>
      </c>
      <c r="J18" s="1175" t="s">
        <v>164</v>
      </c>
      <c r="K18" s="1175"/>
      <c r="L18" s="1171" t="s">
        <v>923</v>
      </c>
      <c r="M18" s="1175" t="s">
        <v>125</v>
      </c>
      <c r="N18" s="1175"/>
    </row>
    <row r="19" spans="1:16" s="61" customFormat="1" ht="12.75" x14ac:dyDescent="0.2">
      <c r="A19" s="1171"/>
      <c r="B19" s="1177"/>
      <c r="C19" s="1171"/>
      <c r="D19" s="1177"/>
      <c r="E19" s="1177"/>
      <c r="F19" s="1177"/>
      <c r="G19" s="1179"/>
      <c r="H19" s="1171"/>
      <c r="I19" s="1171"/>
      <c r="J19" s="52" t="s">
        <v>18</v>
      </c>
      <c r="K19" s="52" t="s">
        <v>19</v>
      </c>
      <c r="L19" s="1171"/>
      <c r="M19" s="52" t="s">
        <v>18</v>
      </c>
      <c r="N19" s="52" t="s">
        <v>19</v>
      </c>
    </row>
    <row r="20" spans="1:16" s="61" customFormat="1" ht="12.75" x14ac:dyDescent="0.2">
      <c r="A20" s="53">
        <v>1</v>
      </c>
      <c r="B20" s="53">
        <v>2</v>
      </c>
      <c r="C20" s="53">
        <v>3</v>
      </c>
      <c r="D20" s="53">
        <v>4</v>
      </c>
      <c r="E20" s="53">
        <v>5</v>
      </c>
      <c r="F20" s="53">
        <v>6</v>
      </c>
      <c r="G20" s="53">
        <v>7</v>
      </c>
      <c r="H20" s="53">
        <v>8</v>
      </c>
      <c r="I20" s="53">
        <v>9</v>
      </c>
      <c r="J20" s="53">
        <v>10</v>
      </c>
      <c r="K20" s="53">
        <v>11</v>
      </c>
      <c r="L20" s="53">
        <v>12</v>
      </c>
      <c r="M20" s="53">
        <v>13</v>
      </c>
      <c r="N20" s="53">
        <v>14</v>
      </c>
    </row>
    <row r="21" spans="1:16" s="61" customFormat="1" ht="12.75" x14ac:dyDescent="0.2">
      <c r="A21" s="1172" t="s">
        <v>148</v>
      </c>
      <c r="B21" s="1173"/>
      <c r="C21" s="1173"/>
      <c r="D21" s="1173"/>
      <c r="E21" s="1173"/>
      <c r="F21" s="1173"/>
      <c r="G21" s="1173"/>
      <c r="H21" s="1173"/>
      <c r="I21" s="1173"/>
      <c r="J21" s="1173"/>
      <c r="K21" s="1173"/>
      <c r="L21" s="1173"/>
      <c r="M21" s="1173"/>
      <c r="N21" s="1174"/>
    </row>
    <row r="22" spans="1:16" s="61" customFormat="1" ht="12.75" x14ac:dyDescent="0.2">
      <c r="A22" s="1163" t="s">
        <v>252</v>
      </c>
      <c r="B22" s="1164"/>
      <c r="C22" s="1164"/>
      <c r="D22" s="1164"/>
      <c r="E22" s="1164"/>
      <c r="F22" s="1164"/>
      <c r="G22" s="1164"/>
      <c r="H22" s="1164"/>
      <c r="I22" s="1164"/>
      <c r="J22" s="1164"/>
      <c r="K22" s="1164"/>
      <c r="L22" s="1164"/>
      <c r="M22" s="1164"/>
      <c r="N22" s="1165"/>
    </row>
    <row r="23" spans="1:16" s="419" customFormat="1" ht="12.75" x14ac:dyDescent="0.2">
      <c r="A23" s="866" t="s">
        <v>149</v>
      </c>
      <c r="B23" s="1166" t="s">
        <v>167</v>
      </c>
      <c r="C23" s="1168" t="s">
        <v>168</v>
      </c>
      <c r="D23" s="868"/>
      <c r="E23" s="869">
        <v>0.7</v>
      </c>
      <c r="F23" s="870">
        <v>198</v>
      </c>
      <c r="G23" s="870">
        <v>1.2999999999999999E-2</v>
      </c>
      <c r="H23" s="871" t="s">
        <v>146</v>
      </c>
      <c r="I23" s="870">
        <v>2930</v>
      </c>
      <c r="J23" s="870">
        <f>ROUND((G23*E23),5)</f>
        <v>9.1000000000000004E-3</v>
      </c>
      <c r="K23" s="870">
        <f>ROUND((3600*E23*G23*F23/1000000),5)</f>
        <v>6.4900000000000001E-3</v>
      </c>
      <c r="L23" s="870">
        <v>90</v>
      </c>
      <c r="M23" s="870">
        <f>ROUND((J23*(1-L23/100)),7)</f>
        <v>9.1E-4</v>
      </c>
      <c r="N23" s="870">
        <f t="shared" ref="N23:N30" si="0">ROUND((K23*(1-L23/100)),5)</f>
        <v>6.4999999999999997E-4</v>
      </c>
    </row>
    <row r="24" spans="1:16" s="419" customFormat="1" ht="12.75" x14ac:dyDescent="0.2">
      <c r="A24" s="872" t="s">
        <v>166</v>
      </c>
      <c r="B24" s="1167"/>
      <c r="C24" s="1169"/>
      <c r="D24" s="874"/>
      <c r="E24" s="875"/>
      <c r="F24" s="876"/>
      <c r="G24" s="876">
        <v>2.1000000000000001E-2</v>
      </c>
      <c r="H24" s="877" t="s">
        <v>145</v>
      </c>
      <c r="I24" s="878">
        <v>2902</v>
      </c>
      <c r="J24" s="876">
        <f>ROUND((E23*G24),4)</f>
        <v>1.47E-2</v>
      </c>
      <c r="K24" s="876">
        <f>ROUND((3600*E23*G24*F23/1000000),5)</f>
        <v>1.048E-2</v>
      </c>
      <c r="L24" s="876">
        <v>90</v>
      </c>
      <c r="M24" s="876">
        <f t="shared" ref="M24:M30" si="1">ROUND((J24*(1-L24/100)),7)</f>
        <v>1.47E-3</v>
      </c>
      <c r="N24" s="876">
        <f t="shared" si="0"/>
        <v>1.0499999999999999E-3</v>
      </c>
    </row>
    <row r="25" spans="1:16" s="419" customFormat="1" ht="12.75" x14ac:dyDescent="0.2">
      <c r="A25" s="872"/>
      <c r="B25" s="873"/>
      <c r="C25" s="1168" t="s">
        <v>266</v>
      </c>
      <c r="D25" s="879"/>
      <c r="E25" s="880">
        <v>0.7</v>
      </c>
      <c r="F25" s="881">
        <v>280</v>
      </c>
      <c r="G25" s="870">
        <v>2.3E-2</v>
      </c>
      <c r="H25" s="871" t="s">
        <v>146</v>
      </c>
      <c r="I25" s="870">
        <v>2930</v>
      </c>
      <c r="J25" s="881">
        <f>ROUND((G25*E25),5)</f>
        <v>1.61E-2</v>
      </c>
      <c r="K25" s="881">
        <f>ROUND((3600*E25*G25*F25/1000000),5)</f>
        <v>1.6230000000000001E-2</v>
      </c>
      <c r="L25" s="881">
        <v>92</v>
      </c>
      <c r="M25" s="881">
        <f>ROUND((J25*(1-L25/100)),5)</f>
        <v>1.2899999999999999E-3</v>
      </c>
      <c r="N25" s="881">
        <f t="shared" si="0"/>
        <v>1.2999999999999999E-3</v>
      </c>
    </row>
    <row r="26" spans="1:16" s="419" customFormat="1" ht="12.75" x14ac:dyDescent="0.2">
      <c r="A26" s="872"/>
      <c r="B26" s="873"/>
      <c r="C26" s="1169"/>
      <c r="D26" s="879"/>
      <c r="E26" s="880"/>
      <c r="F26" s="881"/>
      <c r="G26" s="876">
        <v>5.5E-2</v>
      </c>
      <c r="H26" s="877" t="s">
        <v>145</v>
      </c>
      <c r="I26" s="878">
        <v>2902</v>
      </c>
      <c r="J26" s="881">
        <f>ROUND((E25*G26),4)</f>
        <v>3.85E-2</v>
      </c>
      <c r="K26" s="881">
        <f>ROUND((3600*E25*G26*F25/1000000),5)</f>
        <v>3.8809999999999997E-2</v>
      </c>
      <c r="L26" s="881">
        <v>92</v>
      </c>
      <c r="M26" s="881">
        <f t="shared" si="1"/>
        <v>3.0799999999999998E-3</v>
      </c>
      <c r="N26" s="881">
        <f t="shared" si="0"/>
        <v>3.0999999999999999E-3</v>
      </c>
    </row>
    <row r="27" spans="1:16" s="419" customFormat="1" ht="12.75" x14ac:dyDescent="0.2">
      <c r="A27" s="872"/>
      <c r="B27" s="873"/>
      <c r="C27" s="1168" t="s">
        <v>168</v>
      </c>
      <c r="D27" s="868"/>
      <c r="E27" s="869">
        <v>0.7</v>
      </c>
      <c r="F27" s="870">
        <v>198</v>
      </c>
      <c r="G27" s="870">
        <v>1.2999999999999999E-2</v>
      </c>
      <c r="H27" s="871" t="s">
        <v>146</v>
      </c>
      <c r="I27" s="870">
        <v>2930</v>
      </c>
      <c r="J27" s="870">
        <f>ROUND((G27*E27),5)</f>
        <v>9.1000000000000004E-3</v>
      </c>
      <c r="K27" s="870">
        <f>ROUND((3600*E27*G27*F27/1000000),5)</f>
        <v>6.4900000000000001E-3</v>
      </c>
      <c r="L27" s="870">
        <v>90</v>
      </c>
      <c r="M27" s="870">
        <f t="shared" si="1"/>
        <v>9.1E-4</v>
      </c>
      <c r="N27" s="870">
        <f t="shared" si="0"/>
        <v>6.4999999999999997E-4</v>
      </c>
    </row>
    <row r="28" spans="1:16" s="419" customFormat="1" ht="12.75" x14ac:dyDescent="0.2">
      <c r="A28" s="872"/>
      <c r="B28" s="873"/>
      <c r="C28" s="1169"/>
      <c r="D28" s="874"/>
      <c r="E28" s="875"/>
      <c r="F28" s="876"/>
      <c r="G28" s="876">
        <v>2.1000000000000001E-2</v>
      </c>
      <c r="H28" s="877" t="s">
        <v>145</v>
      </c>
      <c r="I28" s="878">
        <v>2902</v>
      </c>
      <c r="J28" s="876">
        <f>ROUND((E27*G28),4)</f>
        <v>1.47E-2</v>
      </c>
      <c r="K28" s="876">
        <f>ROUND((3600*E27*G28*F27/1000000),5)</f>
        <v>1.048E-2</v>
      </c>
      <c r="L28" s="876">
        <v>90</v>
      </c>
      <c r="M28" s="876">
        <f t="shared" si="1"/>
        <v>1.47E-3</v>
      </c>
      <c r="N28" s="876">
        <f t="shared" si="0"/>
        <v>1.0499999999999999E-3</v>
      </c>
    </row>
    <row r="29" spans="1:16" s="419" customFormat="1" ht="12.75" x14ac:dyDescent="0.2">
      <c r="A29" s="872"/>
      <c r="B29" s="1166" t="s">
        <v>216</v>
      </c>
      <c r="C29" s="1168" t="s">
        <v>168</v>
      </c>
      <c r="D29" s="868"/>
      <c r="E29" s="869">
        <v>0.7</v>
      </c>
      <c r="F29" s="870">
        <v>198</v>
      </c>
      <c r="G29" s="870">
        <v>1.2999999999999999E-2</v>
      </c>
      <c r="H29" s="871" t="s">
        <v>146</v>
      </c>
      <c r="I29" s="870">
        <v>2930</v>
      </c>
      <c r="J29" s="870">
        <f>ROUND((G29*E29),5)</f>
        <v>9.1000000000000004E-3</v>
      </c>
      <c r="K29" s="870">
        <f>ROUND((3600*E29*G29*F29/1000000),5)</f>
        <v>6.4900000000000001E-3</v>
      </c>
      <c r="L29" s="870">
        <v>90</v>
      </c>
      <c r="M29" s="870">
        <f t="shared" si="1"/>
        <v>9.1E-4</v>
      </c>
      <c r="N29" s="870">
        <f t="shared" si="0"/>
        <v>6.4999999999999997E-4</v>
      </c>
    </row>
    <row r="30" spans="1:16" s="419" customFormat="1" ht="12.75" x14ac:dyDescent="0.2">
      <c r="A30" s="872"/>
      <c r="B30" s="1167"/>
      <c r="C30" s="1169"/>
      <c r="D30" s="874"/>
      <c r="E30" s="875"/>
      <c r="F30" s="876"/>
      <c r="G30" s="876">
        <v>2.1000000000000001E-2</v>
      </c>
      <c r="H30" s="877" t="s">
        <v>145</v>
      </c>
      <c r="I30" s="878">
        <v>2902</v>
      </c>
      <c r="J30" s="876">
        <f>ROUND((E29*G30),4)</f>
        <v>1.47E-2</v>
      </c>
      <c r="K30" s="876">
        <f>ROUND((3600*E29*G30*F29/1000000),5)</f>
        <v>1.048E-2</v>
      </c>
      <c r="L30" s="876">
        <v>90</v>
      </c>
      <c r="M30" s="876">
        <f t="shared" si="1"/>
        <v>1.47E-3</v>
      </c>
      <c r="N30" s="876">
        <f t="shared" si="0"/>
        <v>1.0499999999999999E-3</v>
      </c>
    </row>
    <row r="31" spans="1:16" s="419" customFormat="1" ht="12.75" x14ac:dyDescent="0.2">
      <c r="A31" s="1157" t="s">
        <v>217</v>
      </c>
      <c r="B31" s="1158"/>
      <c r="C31" s="1158"/>
      <c r="D31" s="1158"/>
      <c r="E31" s="1158"/>
      <c r="F31" s="1158"/>
      <c r="G31" s="1159"/>
      <c r="H31" s="882" t="s">
        <v>146</v>
      </c>
      <c r="I31" s="883">
        <v>2930</v>
      </c>
      <c r="J31" s="884"/>
      <c r="K31" s="826"/>
      <c r="L31" s="826"/>
      <c r="M31" s="885">
        <f>M23+M25+M27+M29</f>
        <v>4.0200000000000001E-3</v>
      </c>
      <c r="N31" s="885">
        <f>N23+N25+N27+N29</f>
        <v>3.2499999999999999E-3</v>
      </c>
    </row>
    <row r="32" spans="1:16" s="419" customFormat="1" ht="12.75" x14ac:dyDescent="0.2">
      <c r="A32" s="1160"/>
      <c r="B32" s="1161"/>
      <c r="C32" s="1161"/>
      <c r="D32" s="1161"/>
      <c r="E32" s="1161"/>
      <c r="F32" s="1161"/>
      <c r="G32" s="1162"/>
      <c r="H32" s="886" t="s">
        <v>145</v>
      </c>
      <c r="I32" s="887">
        <v>2902</v>
      </c>
      <c r="J32" s="888"/>
      <c r="K32" s="827"/>
      <c r="L32" s="827"/>
      <c r="M32" s="889">
        <f>M24+M26+M28+M30</f>
        <v>7.4900000000000001E-3</v>
      </c>
      <c r="N32" s="889">
        <f>N24+N26+N28+N30</f>
        <v>6.2499999999999995E-3</v>
      </c>
      <c r="O32" s="904">
        <f>SUM(M31:M32)</f>
        <v>1.1509999999999999E-2</v>
      </c>
      <c r="P32" s="904">
        <f>SUM(N31:N32)</f>
        <v>9.4999999999999998E-3</v>
      </c>
    </row>
    <row r="33" spans="1:16" s="61" customFormat="1" ht="12.75" x14ac:dyDescent="0.2">
      <c r="A33" s="1163" t="s">
        <v>253</v>
      </c>
      <c r="B33" s="1164"/>
      <c r="C33" s="1164"/>
      <c r="D33" s="1164"/>
      <c r="E33" s="1164"/>
      <c r="F33" s="1164"/>
      <c r="G33" s="1164"/>
      <c r="H33" s="1164"/>
      <c r="I33" s="1164"/>
      <c r="J33" s="1164"/>
      <c r="K33" s="1164"/>
      <c r="L33" s="1181"/>
      <c r="M33" s="1164"/>
      <c r="N33" s="1165"/>
    </row>
    <row r="34" spans="1:16" s="419" customFormat="1" ht="15" customHeight="1" x14ac:dyDescent="0.2">
      <c r="A34" s="866" t="s">
        <v>262</v>
      </c>
      <c r="B34" s="1166" t="s">
        <v>220</v>
      </c>
      <c r="C34" s="1168" t="s">
        <v>266</v>
      </c>
      <c r="D34" s="890"/>
      <c r="E34" s="869">
        <v>0.7</v>
      </c>
      <c r="F34" s="870">
        <v>120</v>
      </c>
      <c r="G34" s="870">
        <v>2.3E-2</v>
      </c>
      <c r="H34" s="871" t="s">
        <v>146</v>
      </c>
      <c r="I34" s="870">
        <v>2930</v>
      </c>
      <c r="J34" s="870">
        <f>ROUND((G34*E34),5)</f>
        <v>1.61E-2</v>
      </c>
      <c r="K34" s="891">
        <f>ROUND((3600*E34*G34*F34/1000000),5)</f>
        <v>6.96E-3</v>
      </c>
      <c r="L34" s="870">
        <v>95</v>
      </c>
      <c r="M34" s="869">
        <f>ROUND((J34*(1-L34/100)),5)</f>
        <v>8.0999999999999996E-4</v>
      </c>
      <c r="N34" s="870">
        <f t="shared" ref="N34:N45" si="2">ROUND((K34*(1-L34/100)),5)</f>
        <v>3.5E-4</v>
      </c>
    </row>
    <row r="35" spans="1:16" s="419" customFormat="1" ht="12.75" x14ac:dyDescent="0.2">
      <c r="A35" s="872" t="s">
        <v>166</v>
      </c>
      <c r="B35" s="1167"/>
      <c r="C35" s="1180"/>
      <c r="D35" s="879"/>
      <c r="E35" s="880"/>
      <c r="F35" s="881"/>
      <c r="G35" s="881">
        <v>5.5E-2</v>
      </c>
      <c r="H35" s="892" t="s">
        <v>145</v>
      </c>
      <c r="I35" s="893">
        <v>2902</v>
      </c>
      <c r="J35" s="881">
        <f>ROUND((E34*G35),4)</f>
        <v>3.85E-2</v>
      </c>
      <c r="K35" s="894">
        <f>ROUND((3600*E34*G35*F34/1000000),5)</f>
        <v>1.6629999999999999E-2</v>
      </c>
      <c r="L35" s="876">
        <v>95</v>
      </c>
      <c r="M35" s="880">
        <f>ROUND((J35*(1-L35/100)),5)</f>
        <v>1.9300000000000001E-3</v>
      </c>
      <c r="N35" s="881">
        <f t="shared" si="2"/>
        <v>8.3000000000000001E-4</v>
      </c>
    </row>
    <row r="36" spans="1:16" s="419" customFormat="1" ht="12.75" x14ac:dyDescent="0.2">
      <c r="A36" s="872"/>
      <c r="B36" s="873"/>
      <c r="C36" s="1166" t="s">
        <v>168</v>
      </c>
      <c r="D36" s="868"/>
      <c r="E36" s="869">
        <v>0.7</v>
      </c>
      <c r="F36" s="870">
        <v>198</v>
      </c>
      <c r="G36" s="870">
        <v>1.2999999999999999E-2</v>
      </c>
      <c r="H36" s="871" t="s">
        <v>146</v>
      </c>
      <c r="I36" s="870">
        <v>2930</v>
      </c>
      <c r="J36" s="870">
        <f>ROUND((G36*E36),5)</f>
        <v>9.1000000000000004E-3</v>
      </c>
      <c r="K36" s="870">
        <f>ROUND((3600*E36*G36*F36/1000000),5)</f>
        <v>6.4900000000000001E-3</v>
      </c>
      <c r="L36" s="881">
        <v>90</v>
      </c>
      <c r="M36" s="870">
        <f t="shared" ref="M36:M39" si="3">ROUND((J36*(1-L36/100)),7)</f>
        <v>9.1E-4</v>
      </c>
      <c r="N36" s="870">
        <f t="shared" si="2"/>
        <v>6.4999999999999997E-4</v>
      </c>
    </row>
    <row r="37" spans="1:16" s="419" customFormat="1" ht="12.75" x14ac:dyDescent="0.2">
      <c r="A37" s="872"/>
      <c r="B37" s="873"/>
      <c r="C37" s="1170"/>
      <c r="D37" s="874"/>
      <c r="E37" s="875"/>
      <c r="F37" s="876"/>
      <c r="G37" s="876">
        <v>2.1000000000000001E-2</v>
      </c>
      <c r="H37" s="877" t="s">
        <v>145</v>
      </c>
      <c r="I37" s="878">
        <v>2902</v>
      </c>
      <c r="J37" s="876">
        <f>ROUND((E36*G37),4)</f>
        <v>1.47E-2</v>
      </c>
      <c r="K37" s="876">
        <f>ROUND((3600*E36*G37*F36/1000000),5)</f>
        <v>1.048E-2</v>
      </c>
      <c r="L37" s="876">
        <v>90</v>
      </c>
      <c r="M37" s="876">
        <f t="shared" si="3"/>
        <v>1.47E-3</v>
      </c>
      <c r="N37" s="876">
        <f t="shared" si="2"/>
        <v>1.0499999999999999E-3</v>
      </c>
    </row>
    <row r="38" spans="1:16" s="419" customFormat="1" ht="12.75" x14ac:dyDescent="0.2">
      <c r="A38" s="895"/>
      <c r="B38" s="867" t="s">
        <v>244</v>
      </c>
      <c r="C38" s="1168" t="s">
        <v>168</v>
      </c>
      <c r="D38" s="868"/>
      <c r="E38" s="869">
        <v>0.7</v>
      </c>
      <c r="F38" s="870">
        <v>198</v>
      </c>
      <c r="G38" s="870">
        <v>1.2999999999999999E-2</v>
      </c>
      <c r="H38" s="871" t="s">
        <v>146</v>
      </c>
      <c r="I38" s="870">
        <v>2930</v>
      </c>
      <c r="J38" s="870">
        <f>ROUND((G38*E38),5)</f>
        <v>9.1000000000000004E-3</v>
      </c>
      <c r="K38" s="870">
        <f>ROUND((3600*E38*G38*F38/1000000),5)</f>
        <v>6.4900000000000001E-3</v>
      </c>
      <c r="L38" s="870">
        <v>90</v>
      </c>
      <c r="M38" s="870">
        <f t="shared" si="3"/>
        <v>9.1E-4</v>
      </c>
      <c r="N38" s="870">
        <f t="shared" si="2"/>
        <v>6.4999999999999997E-4</v>
      </c>
    </row>
    <row r="39" spans="1:16" s="419" customFormat="1" ht="12.75" x14ac:dyDescent="0.2">
      <c r="A39" s="895"/>
      <c r="B39" s="873" t="s">
        <v>245</v>
      </c>
      <c r="C39" s="1169"/>
      <c r="D39" s="874"/>
      <c r="E39" s="875"/>
      <c r="F39" s="876"/>
      <c r="G39" s="876">
        <v>2.1000000000000001E-2</v>
      </c>
      <c r="H39" s="877" t="s">
        <v>145</v>
      </c>
      <c r="I39" s="878">
        <v>2902</v>
      </c>
      <c r="J39" s="876">
        <f>ROUND((E38*G39),4)</f>
        <v>1.47E-2</v>
      </c>
      <c r="K39" s="876">
        <f>ROUND((3600*E38*G39*F38/1000000),5)</f>
        <v>1.048E-2</v>
      </c>
      <c r="L39" s="876">
        <v>90</v>
      </c>
      <c r="M39" s="876">
        <f t="shared" si="3"/>
        <v>1.47E-3</v>
      </c>
      <c r="N39" s="876">
        <f t="shared" si="2"/>
        <v>1.0499999999999999E-3</v>
      </c>
    </row>
    <row r="40" spans="1:16" s="419" customFormat="1" ht="12.75" x14ac:dyDescent="0.2">
      <c r="A40" s="896"/>
      <c r="B40" s="897" t="s">
        <v>246</v>
      </c>
      <c r="C40" s="1168" t="s">
        <v>329</v>
      </c>
      <c r="D40" s="890"/>
      <c r="E40" s="869">
        <v>0.7</v>
      </c>
      <c r="F40" s="870">
        <v>632</v>
      </c>
      <c r="G40" s="870">
        <v>2.1999999999999999E-2</v>
      </c>
      <c r="H40" s="871" t="s">
        <v>146</v>
      </c>
      <c r="I40" s="870">
        <v>2930</v>
      </c>
      <c r="J40" s="870">
        <f>ROUND((G40*E40),5)</f>
        <v>1.54E-2</v>
      </c>
      <c r="K40" s="870">
        <f>ROUND((3600*E40*G40*F40/1000000),5)</f>
        <v>3.5040000000000002E-2</v>
      </c>
      <c r="L40" s="870">
        <v>92</v>
      </c>
      <c r="M40" s="870">
        <f>ROUND((J40*(1-L40/100)),5)</f>
        <v>1.23E-3</v>
      </c>
      <c r="N40" s="870">
        <f t="shared" si="2"/>
        <v>2.8E-3</v>
      </c>
    </row>
    <row r="41" spans="1:16" s="419" customFormat="1" ht="12.75" x14ac:dyDescent="0.2">
      <c r="A41" s="896"/>
      <c r="B41" s="898"/>
      <c r="C41" s="1169"/>
      <c r="D41" s="879"/>
      <c r="E41" s="880"/>
      <c r="F41" s="881"/>
      <c r="G41" s="876">
        <v>3.3000000000000002E-2</v>
      </c>
      <c r="H41" s="877" t="s">
        <v>145</v>
      </c>
      <c r="I41" s="878">
        <v>2902</v>
      </c>
      <c r="J41" s="881">
        <f>ROUND((E40*G41),4)</f>
        <v>2.3099999999999999E-2</v>
      </c>
      <c r="K41" s="881">
        <f>ROUND((3600*E40*G41*F40/1000000),5)</f>
        <v>5.2560000000000003E-2</v>
      </c>
      <c r="L41" s="881">
        <v>92</v>
      </c>
      <c r="M41" s="881">
        <f>ROUND((J41*(1-L41/100)),5)</f>
        <v>1.8500000000000001E-3</v>
      </c>
      <c r="N41" s="881">
        <f t="shared" si="2"/>
        <v>4.1999999999999997E-3</v>
      </c>
    </row>
    <row r="42" spans="1:16" s="419" customFormat="1" ht="12.75" x14ac:dyDescent="0.2">
      <c r="A42" s="896"/>
      <c r="B42" s="898"/>
      <c r="C42" s="1168" t="s">
        <v>330</v>
      </c>
      <c r="D42" s="890"/>
      <c r="E42" s="869">
        <v>0.7</v>
      </c>
      <c r="F42" s="870">
        <v>632</v>
      </c>
      <c r="G42" s="870">
        <v>0.02</v>
      </c>
      <c r="H42" s="871" t="s">
        <v>146</v>
      </c>
      <c r="I42" s="870">
        <v>2930</v>
      </c>
      <c r="J42" s="870">
        <f>ROUND((G42*E42),5)</f>
        <v>1.4E-2</v>
      </c>
      <c r="K42" s="870">
        <f>ROUND((3600*E42*G42*F42/1000000),5)</f>
        <v>3.1850000000000003E-2</v>
      </c>
      <c r="L42" s="870">
        <v>92</v>
      </c>
      <c r="M42" s="870">
        <f>ROUND((J42*(1-L42/100)),7)</f>
        <v>1.1199999999999999E-3</v>
      </c>
      <c r="N42" s="870">
        <f t="shared" si="2"/>
        <v>2.5500000000000002E-3</v>
      </c>
    </row>
    <row r="43" spans="1:16" s="419" customFormat="1" ht="12.75" x14ac:dyDescent="0.2">
      <c r="A43" s="896"/>
      <c r="B43" s="898"/>
      <c r="C43" s="1169"/>
      <c r="D43" s="879"/>
      <c r="E43" s="880"/>
      <c r="F43" s="881"/>
      <c r="G43" s="876">
        <v>0.03</v>
      </c>
      <c r="H43" s="877" t="s">
        <v>145</v>
      </c>
      <c r="I43" s="878">
        <v>2902</v>
      </c>
      <c r="J43" s="881">
        <f>ROUND((E42*G43),4)</f>
        <v>2.1000000000000001E-2</v>
      </c>
      <c r="K43" s="881">
        <f>ROUND((3600*E42*G43*F42/1000000),5)</f>
        <v>4.7780000000000003E-2</v>
      </c>
      <c r="L43" s="881">
        <v>92</v>
      </c>
      <c r="M43" s="881">
        <f t="shared" ref="M43:M45" si="4">ROUND((J43*(1-L43/100)),7)</f>
        <v>1.6800000000000001E-3</v>
      </c>
      <c r="N43" s="881">
        <f t="shared" si="2"/>
        <v>3.82E-3</v>
      </c>
    </row>
    <row r="44" spans="1:16" s="419" customFormat="1" ht="12.75" x14ac:dyDescent="0.2">
      <c r="A44" s="896"/>
      <c r="B44" s="898"/>
      <c r="C44" s="1168" t="s">
        <v>168</v>
      </c>
      <c r="D44" s="868"/>
      <c r="E44" s="869">
        <v>0.7</v>
      </c>
      <c r="F44" s="870">
        <v>395</v>
      </c>
      <c r="G44" s="870">
        <v>1.2999999999999999E-2</v>
      </c>
      <c r="H44" s="871" t="s">
        <v>146</v>
      </c>
      <c r="I44" s="870">
        <v>2930</v>
      </c>
      <c r="J44" s="870">
        <f>ROUND((G44*E44),5)</f>
        <v>9.1000000000000004E-3</v>
      </c>
      <c r="K44" s="870">
        <f>ROUND((3600*E44*G44*F44/1000000),5)</f>
        <v>1.294E-2</v>
      </c>
      <c r="L44" s="870">
        <v>90</v>
      </c>
      <c r="M44" s="870">
        <f t="shared" si="4"/>
        <v>9.1E-4</v>
      </c>
      <c r="N44" s="870">
        <f t="shared" si="2"/>
        <v>1.2899999999999999E-3</v>
      </c>
    </row>
    <row r="45" spans="1:16" s="419" customFormat="1" ht="12.75" x14ac:dyDescent="0.2">
      <c r="A45" s="896"/>
      <c r="B45" s="899"/>
      <c r="C45" s="1169"/>
      <c r="D45" s="874"/>
      <c r="E45" s="875"/>
      <c r="F45" s="876"/>
      <c r="G45" s="876">
        <v>2.1000000000000001E-2</v>
      </c>
      <c r="H45" s="877" t="s">
        <v>145</v>
      </c>
      <c r="I45" s="878">
        <v>2902</v>
      </c>
      <c r="J45" s="876">
        <f>ROUND((E44*G45),4)</f>
        <v>1.47E-2</v>
      </c>
      <c r="K45" s="876">
        <f>ROUND((3600*E44*G45*F44/1000000),5)</f>
        <v>2.0899999999999998E-2</v>
      </c>
      <c r="L45" s="876">
        <v>90</v>
      </c>
      <c r="M45" s="876">
        <f t="shared" si="4"/>
        <v>1.47E-3</v>
      </c>
      <c r="N45" s="876">
        <f t="shared" si="2"/>
        <v>2.0899999999999998E-3</v>
      </c>
    </row>
    <row r="46" spans="1:16" s="419" customFormat="1" ht="12.75" x14ac:dyDescent="0.2">
      <c r="A46" s="1157" t="s">
        <v>278</v>
      </c>
      <c r="B46" s="1158"/>
      <c r="C46" s="1158"/>
      <c r="D46" s="1158"/>
      <c r="E46" s="1158"/>
      <c r="F46" s="1158"/>
      <c r="G46" s="1159"/>
      <c r="H46" s="882" t="s">
        <v>146</v>
      </c>
      <c r="I46" s="883">
        <v>2930</v>
      </c>
      <c r="J46" s="884"/>
      <c r="K46" s="826"/>
      <c r="L46" s="826"/>
      <c r="M46" s="885">
        <f>M34+M36+M38+M40+M42+M44</f>
        <v>5.8900000000000003E-3</v>
      </c>
      <c r="N46" s="885">
        <f>N34+N36+N38+N40+N42+N44</f>
        <v>8.2900000000000005E-3</v>
      </c>
    </row>
    <row r="47" spans="1:16" s="419" customFormat="1" ht="12.75" x14ac:dyDescent="0.2">
      <c r="A47" s="1160"/>
      <c r="B47" s="1161"/>
      <c r="C47" s="1161"/>
      <c r="D47" s="1161"/>
      <c r="E47" s="1161"/>
      <c r="F47" s="1161"/>
      <c r="G47" s="1162"/>
      <c r="H47" s="886" t="s">
        <v>145</v>
      </c>
      <c r="I47" s="887">
        <v>2902</v>
      </c>
      <c r="J47" s="888"/>
      <c r="K47" s="827"/>
      <c r="L47" s="827"/>
      <c r="M47" s="889">
        <f>M35+M37+M39+M41+M43+M45</f>
        <v>9.8700000000000003E-3</v>
      </c>
      <c r="N47" s="889">
        <f>N35+N37+N39+N41+N43+N45</f>
        <v>1.304E-2</v>
      </c>
      <c r="O47" s="904">
        <f>SUM(M46:M47)</f>
        <v>1.576E-2</v>
      </c>
      <c r="P47" s="904">
        <f>SUM(N46:N47)</f>
        <v>2.1330000000000002E-2</v>
      </c>
    </row>
    <row r="48" spans="1:16" s="61" customFormat="1" ht="12.75" x14ac:dyDescent="0.2">
      <c r="A48" s="1163" t="s">
        <v>261</v>
      </c>
      <c r="B48" s="1164"/>
      <c r="C48" s="1164"/>
      <c r="D48" s="1164"/>
      <c r="E48" s="1164"/>
      <c r="F48" s="1164"/>
      <c r="G48" s="1164"/>
      <c r="H48" s="1164"/>
      <c r="I48" s="1164"/>
      <c r="J48" s="1164"/>
      <c r="K48" s="1164"/>
      <c r="L48" s="1164"/>
      <c r="M48" s="1164"/>
      <c r="N48" s="1165"/>
    </row>
    <row r="49" spans="1:16" s="419" customFormat="1" ht="15" customHeight="1" x14ac:dyDescent="0.2">
      <c r="A49" s="866" t="s">
        <v>286</v>
      </c>
      <c r="B49" s="1166" t="s">
        <v>267</v>
      </c>
      <c r="C49" s="1168" t="s">
        <v>266</v>
      </c>
      <c r="D49" s="890"/>
      <c r="E49" s="869">
        <v>0.7</v>
      </c>
      <c r="F49" s="870">
        <v>198</v>
      </c>
      <c r="G49" s="870">
        <v>2.3E-2</v>
      </c>
      <c r="H49" s="871" t="s">
        <v>146</v>
      </c>
      <c r="I49" s="870">
        <v>2930</v>
      </c>
      <c r="J49" s="870">
        <f>ROUND((G49*E49),5)</f>
        <v>1.61E-2</v>
      </c>
      <c r="K49" s="870">
        <f>ROUND((3600*E49*G49*F49/1000000),5)</f>
        <v>1.1480000000000001E-2</v>
      </c>
      <c r="L49" s="870">
        <v>92</v>
      </c>
      <c r="M49" s="870">
        <f>ROUND((J49*(1-L49/100)),5)</f>
        <v>1.2899999999999999E-3</v>
      </c>
      <c r="N49" s="870">
        <f>ROUND((K49*(1-L49/100)),5)</f>
        <v>9.2000000000000003E-4</v>
      </c>
    </row>
    <row r="50" spans="1:16" s="419" customFormat="1" ht="12.75" x14ac:dyDescent="0.2">
      <c r="A50" s="872" t="s">
        <v>166</v>
      </c>
      <c r="B50" s="1167"/>
      <c r="C50" s="1169"/>
      <c r="D50" s="879"/>
      <c r="E50" s="880"/>
      <c r="F50" s="881"/>
      <c r="G50" s="876">
        <v>5.5E-2</v>
      </c>
      <c r="H50" s="877" t="s">
        <v>145</v>
      </c>
      <c r="I50" s="878">
        <v>2902</v>
      </c>
      <c r="J50" s="881">
        <f>ROUND((E49*G50),4)</f>
        <v>3.85E-2</v>
      </c>
      <c r="K50" s="881">
        <f>ROUND((3600*E49*G50*F49/1000000),5)</f>
        <v>2.7439999999999999E-2</v>
      </c>
      <c r="L50" s="881">
        <v>92</v>
      </c>
      <c r="M50" s="881">
        <f t="shared" ref="M50:M52" si="5">ROUND((J50*(1-L50/100)),7)</f>
        <v>3.0799999999999998E-3</v>
      </c>
      <c r="N50" s="881">
        <f>ROUND((K50*(1-L50/100)),5)</f>
        <v>2.2000000000000001E-3</v>
      </c>
    </row>
    <row r="51" spans="1:16" s="419" customFormat="1" ht="12.75" x14ac:dyDescent="0.2">
      <c r="A51" s="900"/>
      <c r="B51" s="901"/>
      <c r="C51" s="1166" t="s">
        <v>168</v>
      </c>
      <c r="D51" s="868"/>
      <c r="E51" s="869">
        <v>0.7</v>
      </c>
      <c r="F51" s="870">
        <v>237</v>
      </c>
      <c r="G51" s="870">
        <v>1.2999999999999999E-2</v>
      </c>
      <c r="H51" s="871" t="s">
        <v>146</v>
      </c>
      <c r="I51" s="870">
        <v>2930</v>
      </c>
      <c r="J51" s="870">
        <f>ROUND((G51*E51),5)</f>
        <v>9.1000000000000004E-3</v>
      </c>
      <c r="K51" s="870">
        <f>ROUND((3600*E51*G51*F51/1000000),5)</f>
        <v>7.7600000000000004E-3</v>
      </c>
      <c r="L51" s="870">
        <v>90</v>
      </c>
      <c r="M51" s="870">
        <f t="shared" si="5"/>
        <v>9.1E-4</v>
      </c>
      <c r="N51" s="870">
        <f>ROUND((K51*(1-L51/100)),5)</f>
        <v>7.7999999999999999E-4</v>
      </c>
    </row>
    <row r="52" spans="1:16" s="419" customFormat="1" ht="12.75" x14ac:dyDescent="0.2">
      <c r="A52" s="900"/>
      <c r="B52" s="902"/>
      <c r="C52" s="1170"/>
      <c r="D52" s="874"/>
      <c r="E52" s="875"/>
      <c r="F52" s="876"/>
      <c r="G52" s="876">
        <v>2.1000000000000001E-2</v>
      </c>
      <c r="H52" s="877" t="s">
        <v>145</v>
      </c>
      <c r="I52" s="878">
        <v>2902</v>
      </c>
      <c r="J52" s="876">
        <f>ROUND((E51*G52),4)</f>
        <v>1.47E-2</v>
      </c>
      <c r="K52" s="876">
        <f>ROUND((3600*E51*G52*F51/1000000),5)</f>
        <v>1.2540000000000001E-2</v>
      </c>
      <c r="L52" s="876">
        <v>90</v>
      </c>
      <c r="M52" s="876">
        <f t="shared" si="5"/>
        <v>1.47E-3</v>
      </c>
      <c r="N52" s="876">
        <f>ROUND((K52*(1-L52/100)),5)</f>
        <v>1.25E-3</v>
      </c>
    </row>
    <row r="53" spans="1:16" s="419" customFormat="1" ht="12.75" x14ac:dyDescent="0.2">
      <c r="A53" s="1157" t="s">
        <v>288</v>
      </c>
      <c r="B53" s="1158"/>
      <c r="C53" s="1158"/>
      <c r="D53" s="1158"/>
      <c r="E53" s="1158"/>
      <c r="F53" s="1158"/>
      <c r="G53" s="1159"/>
      <c r="H53" s="882" t="s">
        <v>146</v>
      </c>
      <c r="I53" s="883">
        <v>2930</v>
      </c>
      <c r="J53" s="884"/>
      <c r="K53" s="826"/>
      <c r="L53" s="826"/>
      <c r="M53" s="885">
        <f>M49+M51</f>
        <v>2.1999999999999997E-3</v>
      </c>
      <c r="N53" s="885">
        <f>N49+N51</f>
        <v>1.7000000000000001E-3</v>
      </c>
    </row>
    <row r="54" spans="1:16" s="419" customFormat="1" ht="12.75" x14ac:dyDescent="0.2">
      <c r="A54" s="1160"/>
      <c r="B54" s="1161"/>
      <c r="C54" s="1161"/>
      <c r="D54" s="1161"/>
      <c r="E54" s="1161"/>
      <c r="F54" s="1161"/>
      <c r="G54" s="1162"/>
      <c r="H54" s="886" t="s">
        <v>145</v>
      </c>
      <c r="I54" s="887">
        <v>2902</v>
      </c>
      <c r="J54" s="888"/>
      <c r="K54" s="827"/>
      <c r="L54" s="827"/>
      <c r="M54" s="889">
        <f>M50+M52</f>
        <v>4.5500000000000002E-3</v>
      </c>
      <c r="N54" s="889">
        <f>N50+N52</f>
        <v>3.4499999999999999E-3</v>
      </c>
      <c r="O54" s="904">
        <f>SUM(M53:M54)</f>
        <v>6.7499999999999999E-3</v>
      </c>
      <c r="P54" s="904">
        <f>SUM(N53:N54)</f>
        <v>5.1500000000000001E-3</v>
      </c>
    </row>
    <row r="55" spans="1:16" s="61" customFormat="1" ht="12.75" x14ac:dyDescent="0.2">
      <c r="A55" s="1163" t="s">
        <v>280</v>
      </c>
      <c r="B55" s="1164"/>
      <c r="C55" s="1164"/>
      <c r="D55" s="1164"/>
      <c r="E55" s="1164"/>
      <c r="F55" s="1164"/>
      <c r="G55" s="1164"/>
      <c r="H55" s="1164"/>
      <c r="I55" s="1164"/>
      <c r="J55" s="1164"/>
      <c r="K55" s="1164"/>
      <c r="L55" s="1164"/>
      <c r="M55" s="1164"/>
      <c r="N55" s="1165"/>
    </row>
    <row r="56" spans="1:16" s="419" customFormat="1" ht="12.75" x14ac:dyDescent="0.2">
      <c r="A56" s="903" t="s">
        <v>291</v>
      </c>
      <c r="B56" s="1166" t="s">
        <v>282</v>
      </c>
      <c r="C56" s="1168" t="s">
        <v>266</v>
      </c>
      <c r="D56" s="890"/>
      <c r="E56" s="869">
        <v>0.7</v>
      </c>
      <c r="F56" s="870">
        <v>455</v>
      </c>
      <c r="G56" s="870">
        <v>2.3E-2</v>
      </c>
      <c r="H56" s="871" t="s">
        <v>146</v>
      </c>
      <c r="I56" s="870">
        <v>2930</v>
      </c>
      <c r="J56" s="870">
        <f>ROUND((G56*E56),5)</f>
        <v>1.61E-2</v>
      </c>
      <c r="K56" s="870">
        <f>ROUND((3600*E56*G56*F56/1000000),5)</f>
        <v>2.6370000000000001E-2</v>
      </c>
      <c r="L56" s="870">
        <v>92</v>
      </c>
      <c r="M56" s="870">
        <f>ROUND((J56*(1-L56/100)),5)</f>
        <v>1.2899999999999999E-3</v>
      </c>
      <c r="N56" s="870">
        <f>ROUND((K56*(1-L56/100)),5)</f>
        <v>2.1099999999999999E-3</v>
      </c>
    </row>
    <row r="57" spans="1:16" s="419" customFormat="1" ht="12.75" x14ac:dyDescent="0.2">
      <c r="A57" s="893" t="s">
        <v>166</v>
      </c>
      <c r="B57" s="1167"/>
      <c r="C57" s="1169"/>
      <c r="D57" s="879"/>
      <c r="E57" s="880"/>
      <c r="F57" s="881"/>
      <c r="G57" s="876">
        <v>5.5E-2</v>
      </c>
      <c r="H57" s="877" t="s">
        <v>145</v>
      </c>
      <c r="I57" s="878">
        <v>2902</v>
      </c>
      <c r="J57" s="881">
        <f>ROUND((E56*G57),4)</f>
        <v>3.85E-2</v>
      </c>
      <c r="K57" s="881">
        <f>ROUND((3600*E56*G57*F56/1000000),5)</f>
        <v>6.3060000000000005E-2</v>
      </c>
      <c r="L57" s="881">
        <v>92</v>
      </c>
      <c r="M57" s="881">
        <f t="shared" ref="M57:M59" si="6">ROUND((J57*(1-L57/100)),7)</f>
        <v>3.0799999999999998E-3</v>
      </c>
      <c r="N57" s="881">
        <f>ROUND((K57*(1-L57/100)),5)</f>
        <v>5.0400000000000002E-3</v>
      </c>
    </row>
    <row r="58" spans="1:16" s="419" customFormat="1" ht="12.75" x14ac:dyDescent="0.2">
      <c r="A58" s="901"/>
      <c r="B58" s="901"/>
      <c r="C58" s="1166" t="s">
        <v>168</v>
      </c>
      <c r="D58" s="868"/>
      <c r="E58" s="869">
        <v>0.7</v>
      </c>
      <c r="F58" s="870">
        <v>395</v>
      </c>
      <c r="G58" s="870">
        <v>1.2999999999999999E-2</v>
      </c>
      <c r="H58" s="871" t="s">
        <v>146</v>
      </c>
      <c r="I58" s="870">
        <v>2930</v>
      </c>
      <c r="J58" s="870">
        <f>ROUND((G58*E58),5)</f>
        <v>9.1000000000000004E-3</v>
      </c>
      <c r="K58" s="870">
        <f>ROUND((3600*E58*G58*F58/1000000),5)</f>
        <v>1.294E-2</v>
      </c>
      <c r="L58" s="870">
        <v>90</v>
      </c>
      <c r="M58" s="870">
        <f t="shared" si="6"/>
        <v>9.1E-4</v>
      </c>
      <c r="N58" s="870">
        <f>ROUND((K58*(1-L58/100)),5)</f>
        <v>1.2899999999999999E-3</v>
      </c>
    </row>
    <row r="59" spans="1:16" s="419" customFormat="1" ht="12.75" x14ac:dyDescent="0.2">
      <c r="A59" s="902"/>
      <c r="B59" s="902"/>
      <c r="C59" s="1170"/>
      <c r="D59" s="874"/>
      <c r="E59" s="875"/>
      <c r="F59" s="876"/>
      <c r="G59" s="876">
        <v>2.1000000000000001E-2</v>
      </c>
      <c r="H59" s="877" t="s">
        <v>145</v>
      </c>
      <c r="I59" s="878">
        <v>2902</v>
      </c>
      <c r="J59" s="876">
        <f>ROUND((E58*G59),4)</f>
        <v>1.47E-2</v>
      </c>
      <c r="K59" s="876">
        <f>ROUND((3600*E58*G59*F58/1000000),5)</f>
        <v>2.0899999999999998E-2</v>
      </c>
      <c r="L59" s="876">
        <v>90</v>
      </c>
      <c r="M59" s="876">
        <f t="shared" si="6"/>
        <v>1.47E-3</v>
      </c>
      <c r="N59" s="876">
        <f>ROUND((K59*(1-L59/100)),5)</f>
        <v>2.0899999999999998E-3</v>
      </c>
    </row>
    <row r="60" spans="1:16" s="419" customFormat="1" ht="12.75" x14ac:dyDescent="0.2">
      <c r="A60" s="1157" t="s">
        <v>292</v>
      </c>
      <c r="B60" s="1158"/>
      <c r="C60" s="1158"/>
      <c r="D60" s="1158"/>
      <c r="E60" s="1158"/>
      <c r="F60" s="1158"/>
      <c r="G60" s="1159"/>
      <c r="H60" s="882" t="s">
        <v>146</v>
      </c>
      <c r="I60" s="883">
        <v>2930</v>
      </c>
      <c r="J60" s="884"/>
      <c r="K60" s="826"/>
      <c r="L60" s="826"/>
      <c r="M60" s="885">
        <f>M56+M58</f>
        <v>2.1999999999999997E-3</v>
      </c>
      <c r="N60" s="885">
        <f>N56+N58</f>
        <v>3.3999999999999998E-3</v>
      </c>
    </row>
    <row r="61" spans="1:16" s="419" customFormat="1" ht="12.75" x14ac:dyDescent="0.2">
      <c r="A61" s="1160"/>
      <c r="B61" s="1161"/>
      <c r="C61" s="1161"/>
      <c r="D61" s="1161"/>
      <c r="E61" s="1161"/>
      <c r="F61" s="1161"/>
      <c r="G61" s="1162"/>
      <c r="H61" s="886" t="s">
        <v>145</v>
      </c>
      <c r="I61" s="887">
        <v>2902</v>
      </c>
      <c r="J61" s="888"/>
      <c r="K61" s="827"/>
      <c r="L61" s="827"/>
      <c r="M61" s="889">
        <f>M57+M59</f>
        <v>4.5500000000000002E-3</v>
      </c>
      <c r="N61" s="889">
        <f>N57+N59</f>
        <v>7.1300000000000001E-3</v>
      </c>
      <c r="O61" s="904">
        <f>SUM(M60:M61)</f>
        <v>6.7499999999999999E-3</v>
      </c>
      <c r="P61" s="904">
        <f>SUM(N60:N61)</f>
        <v>1.0529999999999999E-2</v>
      </c>
    </row>
    <row r="62" spans="1:16" s="61" customFormat="1" ht="12.75" x14ac:dyDescent="0.2">
      <c r="A62" s="61" t="s">
        <v>438</v>
      </c>
    </row>
    <row r="63" spans="1:16" s="61" customFormat="1" ht="12.75" x14ac:dyDescent="0.2">
      <c r="O63" s="497">
        <f>SUM(O31:O61)</f>
        <v>4.0770000000000001E-2</v>
      </c>
      <c r="P63" s="497">
        <f>SUM(P31:P61)</f>
        <v>4.6510000000000003E-2</v>
      </c>
    </row>
    <row r="64" spans="1:16" s="61" customFormat="1" ht="12.75" x14ac:dyDescent="0.2"/>
    <row r="65" s="61" customFormat="1" ht="12.75" x14ac:dyDescent="0.2"/>
    <row r="66" s="61" customFormat="1" ht="12.75" x14ac:dyDescent="0.2"/>
    <row r="67" s="61" customFormat="1" ht="12.75" x14ac:dyDescent="0.2"/>
    <row r="68" s="61" customFormat="1" ht="12.75" x14ac:dyDescent="0.2"/>
    <row r="69" s="61" customFormat="1" ht="12.75" x14ac:dyDescent="0.2"/>
    <row r="70" s="61" customFormat="1" ht="12.75" x14ac:dyDescent="0.2"/>
    <row r="71" s="61" customFormat="1" ht="12.75" x14ac:dyDescent="0.2"/>
    <row r="72" s="61" customFormat="1" ht="12.75" x14ac:dyDescent="0.2"/>
    <row r="73" s="61" customFormat="1" ht="12.75" x14ac:dyDescent="0.2"/>
    <row r="74" s="61" customFormat="1" ht="12.75" x14ac:dyDescent="0.2"/>
    <row r="75" s="61" customFormat="1" ht="12.75" x14ac:dyDescent="0.2"/>
    <row r="76" s="61" customFormat="1" ht="12.75" x14ac:dyDescent="0.2"/>
    <row r="77" s="61" customFormat="1" ht="12.75" x14ac:dyDescent="0.2"/>
    <row r="78" s="61" customFormat="1" ht="12.75" x14ac:dyDescent="0.2"/>
    <row r="79" s="61" customFormat="1" ht="12.75" x14ac:dyDescent="0.2"/>
    <row r="80" s="61" customFormat="1" ht="12.75" x14ac:dyDescent="0.2"/>
    <row r="81" s="61" customFormat="1" ht="12.75" x14ac:dyDescent="0.2"/>
    <row r="82" s="61" customFormat="1" ht="12.75" x14ac:dyDescent="0.2"/>
    <row r="83" s="61" customFormat="1" ht="12.75" x14ac:dyDescent="0.2"/>
    <row r="84" s="61" customFormat="1" ht="12.75" x14ac:dyDescent="0.2"/>
    <row r="85" s="61" customFormat="1" ht="12.75" x14ac:dyDescent="0.2"/>
  </sheetData>
  <mergeCells count="47">
    <mergeCell ref="C38:C39"/>
    <mergeCell ref="C40:C41"/>
    <mergeCell ref="C42:C43"/>
    <mergeCell ref="C44:C45"/>
    <mergeCell ref="A31:G32"/>
    <mergeCell ref="B34:B35"/>
    <mergeCell ref="C34:C35"/>
    <mergeCell ref="C36:C37"/>
    <mergeCell ref="A33:N33"/>
    <mergeCell ref="A18:A19"/>
    <mergeCell ref="C18:C19"/>
    <mergeCell ref="B23:B24"/>
    <mergeCell ref="A22:N22"/>
    <mergeCell ref="A21:N21"/>
    <mergeCell ref="C23:C24"/>
    <mergeCell ref="I18:I19"/>
    <mergeCell ref="J18:K18"/>
    <mergeCell ref="L18:L19"/>
    <mergeCell ref="M18:N18"/>
    <mergeCell ref="B18:B19"/>
    <mergeCell ref="E18:E19"/>
    <mergeCell ref="F18:F19"/>
    <mergeCell ref="G18:G19"/>
    <mergeCell ref="D18:D19"/>
    <mergeCell ref="C25:C26"/>
    <mergeCell ref="C27:C28"/>
    <mergeCell ref="B29:B30"/>
    <mergeCell ref="C29:C30"/>
    <mergeCell ref="H18:H19"/>
    <mergeCell ref="A46:G47"/>
    <mergeCell ref="A48:N48"/>
    <mergeCell ref="B49:B50"/>
    <mergeCell ref="C49:C50"/>
    <mergeCell ref="C51:C52"/>
    <mergeCell ref="A60:G61"/>
    <mergeCell ref="A53:G54"/>
    <mergeCell ref="A55:N55"/>
    <mergeCell ref="B56:B57"/>
    <mergeCell ref="C56:C57"/>
    <mergeCell ref="C58:C59"/>
    <mergeCell ref="A16:J16"/>
    <mergeCell ref="A4:M5"/>
    <mergeCell ref="A1:J1"/>
    <mergeCell ref="A3:J3"/>
    <mergeCell ref="A8:J8"/>
    <mergeCell ref="A9:J9"/>
    <mergeCell ref="A15:R15"/>
  </mergeCells>
  <pageMargins left="0.31496062992125984" right="0.31496062992125984" top="0.78740157480314965" bottom="0.39370078740157483" header="0.31496062992125984" footer="0.19685039370078741"/>
  <pageSetup paperSize="9" firstPageNumber="31" orientation="landscape" useFirstPageNumber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44</vt:i4>
      </vt:variant>
    </vt:vector>
  </HeadingPairs>
  <TitlesOfParts>
    <vt:vector size="70" baseType="lpstr">
      <vt:lpstr>титул</vt:lpstr>
      <vt:lpstr>введение</vt:lpstr>
      <vt:lpstr>содержание</vt:lpstr>
      <vt:lpstr>ИТОГО</vt:lpstr>
      <vt:lpstr>1 котельная+парогенераторная</vt:lpstr>
      <vt:lpstr>2 склад резервуаров ДТ</vt:lpstr>
      <vt:lpstr>3 насосная станция ДТ</vt:lpstr>
      <vt:lpstr>4 сварка</vt:lpstr>
      <vt:lpstr>5 станки</vt:lpstr>
      <vt:lpstr>6 мойка деталей, обезжиривание</vt:lpstr>
      <vt:lpstr>7 пайка</vt:lpstr>
      <vt:lpstr>8 замена масла</vt:lpstr>
      <vt:lpstr>9.1 склад известняка</vt:lpstr>
      <vt:lpstr>9.2 площадки известняка №№1,2</vt:lpstr>
      <vt:lpstr>10 ДЭС</vt:lpstr>
      <vt:lpstr>11 абразивоструйка</vt:lpstr>
      <vt:lpstr>12 ЦАЛ</vt:lpstr>
      <vt:lpstr>13 Корпус CIL</vt:lpstr>
      <vt:lpstr>14ГМЦ+Насосная УОП</vt:lpstr>
      <vt:lpstr>15 Помещение склада извести</vt:lpstr>
      <vt:lpstr>16 емкости УСПК</vt:lpstr>
      <vt:lpstr>17 УПИИ</vt:lpstr>
      <vt:lpstr>18 склад техногенного грунта</vt:lpstr>
      <vt:lpstr>19 работа техники</vt:lpstr>
      <vt:lpstr>20 въезд-выезд авто</vt:lpstr>
      <vt:lpstr>21 ТО и ТР</vt:lpstr>
      <vt:lpstr>'1 котельная+парогенераторная'!Заголовки_для_печати</vt:lpstr>
      <vt:lpstr>'10 ДЭС'!Заголовки_для_печати</vt:lpstr>
      <vt:lpstr>'11 абразивоструйка'!Заголовки_для_печати</vt:lpstr>
      <vt:lpstr>'12 ЦАЛ'!Заголовки_для_печати</vt:lpstr>
      <vt:lpstr>'13 Корпус CIL'!Заголовки_для_печати</vt:lpstr>
      <vt:lpstr>'14ГМЦ+Насосная УОП'!Заголовки_для_печати</vt:lpstr>
      <vt:lpstr>'16 емкости УСПК'!Заголовки_для_печати</vt:lpstr>
      <vt:lpstr>'17 УПИИ'!Заголовки_для_печати</vt:lpstr>
      <vt:lpstr>'19 работа техники'!Заголовки_для_печати</vt:lpstr>
      <vt:lpstr>'2 склад резервуаров ДТ'!Заголовки_для_печати</vt:lpstr>
      <vt:lpstr>'20 въезд-выезд авто'!Заголовки_для_печати</vt:lpstr>
      <vt:lpstr>'21 ТО и ТР'!Заголовки_для_печати</vt:lpstr>
      <vt:lpstr>'3 насосная станция ДТ'!Заголовки_для_печати</vt:lpstr>
      <vt:lpstr>'4 сварка'!Заголовки_для_печати</vt:lpstr>
      <vt:lpstr>'5 станки'!Заголовки_для_печати</vt:lpstr>
      <vt:lpstr>'6 мойка деталей, обезжиривание'!Заголовки_для_печати</vt:lpstr>
      <vt:lpstr>'7 пайка'!Заголовки_для_печати</vt:lpstr>
      <vt:lpstr>'8 замена масла'!Заголовки_для_печати</vt:lpstr>
      <vt:lpstr>'9.1 склад известняка'!Заголовки_для_печати</vt:lpstr>
      <vt:lpstr>'9.2 площадки известняка №№1,2'!Заголовки_для_печати</vt:lpstr>
      <vt:lpstr>'1 котельная+парогенераторная'!Область_печати</vt:lpstr>
      <vt:lpstr>'10 ДЭС'!Область_печати</vt:lpstr>
      <vt:lpstr>'11 абразивоструйка'!Область_печати</vt:lpstr>
      <vt:lpstr>'12 ЦАЛ'!Область_печати</vt:lpstr>
      <vt:lpstr>'13 Корпус CIL'!Область_печати</vt:lpstr>
      <vt:lpstr>'14ГМЦ+Насосная УОП'!Область_печати</vt:lpstr>
      <vt:lpstr>'15 Помещение склада извести'!Область_печати</vt:lpstr>
      <vt:lpstr>'16 емкости УСПК'!Область_печати</vt:lpstr>
      <vt:lpstr>'17 УПИИ'!Область_печати</vt:lpstr>
      <vt:lpstr>'18 склад техногенного грунта'!Область_печати</vt:lpstr>
      <vt:lpstr>'19 работа техники'!Область_печати</vt:lpstr>
      <vt:lpstr>'2 склад резервуаров ДТ'!Область_печати</vt:lpstr>
      <vt:lpstr>'20 въезд-выезд авто'!Область_печати</vt:lpstr>
      <vt:lpstr>'21 ТО и ТР'!Область_печати</vt:lpstr>
      <vt:lpstr>'3 насосная станция ДТ'!Область_печати</vt:lpstr>
      <vt:lpstr>'4 сварка'!Область_печати</vt:lpstr>
      <vt:lpstr>'5 станки'!Область_печати</vt:lpstr>
      <vt:lpstr>'6 мойка деталей, обезжиривание'!Область_печати</vt:lpstr>
      <vt:lpstr>'7 пайка'!Область_печати</vt:lpstr>
      <vt:lpstr>'8 замена масла'!Область_печати</vt:lpstr>
      <vt:lpstr>'9.1 склад известняка'!Область_печати</vt:lpstr>
      <vt:lpstr>'9.2 площадки известняка №№1,2'!Область_печати</vt:lpstr>
      <vt:lpstr>введение!Область_печати</vt:lpstr>
      <vt:lpstr>содержание!Область_печати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Ирина</cp:lastModifiedBy>
  <cp:lastPrinted>2025-09-27T13:41:15Z</cp:lastPrinted>
  <dcterms:created xsi:type="dcterms:W3CDTF">2025-06-02T11:50:22Z</dcterms:created>
  <dcterms:modified xsi:type="dcterms:W3CDTF">2025-10-31T04:08:02Z</dcterms:modified>
</cp:coreProperties>
</file>